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2.xml" ContentType="application/vnd.openxmlformats-officedocument.spreadsheetml.comment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1.xml" ContentType="application/vnd.openxmlformats-officedocument.drawing+xml"/>
  <Override PartName="/xl/comments3.xml" ContentType="application/vnd.openxmlformats-officedocument.spreadsheetml.comment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omments4.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4.xml" ContentType="application/vnd.openxmlformats-officedocument.drawing+xml"/>
  <Override PartName="/xl/tables/table1.xml" ContentType="application/vnd.openxmlformats-officedocument.spreadsheetml.table+xml"/>
  <Override PartName="/xl/drawings/drawing15.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6.xml" ContentType="application/vnd.openxmlformats-officedocument.drawing+xml"/>
  <Override PartName="/xl/comments5.xml" ContentType="application/vnd.openxmlformats-officedocument.spreadsheetml.comments+xml"/>
  <Override PartName="/xl/threadedComments/threadedComment1.xml" ContentType="application/vnd.ms-excel.threadedcomments+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7.xml" ContentType="application/vnd.openxmlformats-officedocument.drawing+xml"/>
  <Override PartName="/xl/drawings/drawing18.xml" ContentType="application/vnd.openxmlformats-officedocument.drawing+xml"/>
  <Override PartName="/xl/comments6.xml" ContentType="application/vnd.openxmlformats-officedocument.spreadsheetml.comments+xml"/>
  <Override PartName="/xl/threadedComments/threadedComment2.xml" ContentType="application/vnd.ms-excel.threadedcomments+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codeName="ThisWorkbook" defaultThemeVersion="166925"/>
  <mc:AlternateContent xmlns:mc="http://schemas.openxmlformats.org/markup-compatibility/2006">
    <mc:Choice Requires="x15">
      <x15ac:absPath xmlns:x15ac="http://schemas.microsoft.com/office/spreadsheetml/2010/11/ac" url="/Users/gtorvestad/Downloads/"/>
    </mc:Choice>
  </mc:AlternateContent>
  <xr:revisionPtr revIDLastSave="0" documentId="8_{CF29E45D-D37A-4D4A-A77F-3A4CCCEF2C40}" xr6:coauthVersionLast="47" xr6:coauthVersionMax="47" xr10:uidLastSave="{00000000-0000-0000-0000-000000000000}"/>
  <bookViews>
    <workbookView xWindow="0" yWindow="500" windowWidth="33120" windowHeight="18000" xr2:uid="{C729222A-3C89-495F-A67F-39A38ED02018}"/>
  </bookViews>
  <sheets>
    <sheet name="ReadMe" sheetId="32" r:id="rId1"/>
    <sheet name="Prototype" sheetId="2" r:id="rId2"/>
    <sheet name="Zones" sheetId="13" r:id="rId3"/>
    <sheet name="Envelope" sheetId="1" r:id="rId4"/>
    <sheet name="HVAC System" sheetId="14" r:id="rId5"/>
    <sheet name="Heating-No area used to convert" sheetId="8" state="hidden" r:id="rId6"/>
    <sheet name="Flower Room HVAC Equipment" sheetId="33" r:id="rId7"/>
    <sheet name="2022+ Flower Room Coil Speeds" sheetId="34" r:id="rId8"/>
    <sheet name="Thermostat" sheetId="30" r:id="rId9"/>
    <sheet name="Water Heater" sheetId="7" r:id="rId10"/>
    <sheet name="Cooking Euipment" sheetId="3" state="hidden" r:id="rId11"/>
    <sheet name="Air compressor" sheetId="4" state="hidden" r:id="rId12"/>
    <sheet name="Refrigerated" sheetId="10" state="hidden" r:id="rId13"/>
    <sheet name="Ventilation" sheetId="18" r:id="rId14"/>
    <sheet name="Occupnacy" sheetId="19" state="hidden" r:id="rId15"/>
    <sheet name="Equipment" sheetId="29" r:id="rId16"/>
    <sheet name="Schedules" sheetId="28" r:id="rId17"/>
    <sheet name="Latent Load and Setpoint" sheetId="31" r:id="rId18"/>
    <sheet name="Energy Usage" sheetId="20" r:id="rId19"/>
    <sheet name="Weights" sheetId="21" r:id="rId20"/>
    <sheet name="EV Charger" sheetId="22" r:id="rId21"/>
    <sheet name="Interior Lights" sheetId="25" r:id="rId22"/>
    <sheet name="Ext Lighting" sheetId="9" r:id="rId23"/>
    <sheet name="PV" sheetId="27" r:id="rId24"/>
    <sheet name="Notes" sheetId="23" r:id="rId25"/>
    <sheet name="FZ-CZ" sheetId="12" state="hidden" r:id="rId26"/>
  </sheets>
  <definedNames>
    <definedName name="nonparticipating_forecastzone_scale_factor">'Energy Usage'!#REF!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3" i="18" l="1"/>
  <c r="O13" i="18"/>
  <c r="I13" i="18"/>
  <c r="N13" i="18" s="1"/>
  <c r="P13" i="18" s="1"/>
  <c r="Q12" i="18"/>
  <c r="O12" i="18"/>
  <c r="I12" i="18"/>
  <c r="N12" i="18" s="1"/>
  <c r="P12" i="18" s="1"/>
  <c r="Q11" i="18"/>
  <c r="O11" i="18"/>
  <c r="I11" i="18"/>
  <c r="N11" i="18" s="1"/>
  <c r="P11" i="18" s="1"/>
  <c r="R11" i="18" s="1"/>
  <c r="Q10" i="18"/>
  <c r="O10" i="18"/>
  <c r="I10" i="18"/>
  <c r="N10" i="18" s="1"/>
  <c r="P10" i="18" s="1"/>
  <c r="Q9" i="18"/>
  <c r="O9" i="18"/>
  <c r="I9" i="18"/>
  <c r="N9" i="18" s="1"/>
  <c r="P9" i="18" s="1"/>
  <c r="R9" i="18" s="1"/>
  <c r="Q8" i="18"/>
  <c r="O8" i="18"/>
  <c r="N8" i="18"/>
  <c r="P8" i="18" s="1"/>
  <c r="I8" i="18"/>
  <c r="Q7" i="18"/>
  <c r="O7" i="18"/>
  <c r="I7" i="18"/>
  <c r="N7" i="18" s="1"/>
  <c r="P7" i="18" s="1"/>
  <c r="R7" i="18" s="1"/>
  <c r="Q6" i="18"/>
  <c r="O6" i="18"/>
  <c r="I6" i="18"/>
  <c r="N6" i="18" s="1"/>
  <c r="P6" i="18" s="1"/>
  <c r="R6" i="18" s="1"/>
  <c r="R8" i="18" l="1"/>
  <c r="R10" i="18"/>
  <c r="R13" i="18"/>
  <c r="C5" i="34" l="1"/>
  <c r="D5" i="34"/>
  <c r="E5" i="34"/>
  <c r="F5" i="34"/>
  <c r="G5" i="34" s="1"/>
  <c r="H5" i="34" s="1"/>
  <c r="I5" i="34" s="1"/>
  <c r="B7" i="34"/>
  <c r="C7" i="34"/>
  <c r="D7" i="34"/>
  <c r="E7" i="34"/>
  <c r="F7" i="34"/>
  <c r="G7" i="34"/>
  <c r="H7" i="34"/>
  <c r="I7" i="34"/>
  <c r="B11" i="34"/>
  <c r="C11" i="34"/>
  <c r="D11" i="34"/>
  <c r="E11" i="34"/>
  <c r="F11" i="34"/>
  <c r="G11" i="34"/>
  <c r="H11" i="34"/>
  <c r="I11" i="34"/>
  <c r="E4" i="33"/>
  <c r="D17" i="33"/>
  <c r="E23" i="33"/>
  <c r="D26" i="33"/>
  <c r="E26" i="33"/>
  <c r="P24" i="1"/>
  <c r="P25" i="1"/>
  <c r="P26" i="1"/>
  <c r="P27" i="1"/>
  <c r="P23" i="1"/>
  <c r="I25" i="1"/>
  <c r="I23" i="1"/>
  <c r="F13" i="13"/>
  <c r="F14" i="13"/>
  <c r="F12" i="13"/>
  <c r="E19" i="13"/>
  <c r="F7" i="13"/>
  <c r="F8" i="13"/>
  <c r="F9" i="13"/>
  <c r="F6" i="13"/>
  <c r="M6" i="13" s="1"/>
  <c r="E40" i="29"/>
  <c r="F40" i="29"/>
  <c r="G40" i="29"/>
  <c r="H40" i="29"/>
  <c r="E41" i="29"/>
  <c r="F41" i="29"/>
  <c r="G41" i="29"/>
  <c r="H41" i="29"/>
  <c r="E42" i="29"/>
  <c r="F42" i="29"/>
  <c r="G42" i="29"/>
  <c r="H42" i="29"/>
  <c r="E43" i="29"/>
  <c r="F43" i="29"/>
  <c r="G43" i="29"/>
  <c r="H43" i="29"/>
  <c r="E44" i="29"/>
  <c r="F44" i="29"/>
  <c r="G44" i="29"/>
  <c r="H44" i="29"/>
  <c r="E45" i="29"/>
  <c r="F45" i="29"/>
  <c r="G45" i="29"/>
  <c r="H45" i="29"/>
  <c r="E46" i="29"/>
  <c r="F46" i="29"/>
  <c r="G46" i="29"/>
  <c r="H46" i="29"/>
  <c r="I26" i="1" l="1"/>
  <c r="Q26" i="1" s="1"/>
  <c r="Q23" i="1"/>
  <c r="K9" i="13"/>
  <c r="I9" i="13"/>
  <c r="I8" i="13"/>
  <c r="Q24" i="1" l="1"/>
  <c r="Q27" i="1"/>
  <c r="Q25" i="1"/>
  <c r="M7" i="13"/>
  <c r="M17" i="13" s="1"/>
  <c r="E47" i="29" l="1"/>
  <c r="F47" i="29"/>
  <c r="G47" i="29"/>
  <c r="B17" i="29"/>
  <c r="B18" i="29"/>
  <c r="H47" i="29"/>
  <c r="B20" i="29" s="1"/>
  <c r="A4" i="31" l="1"/>
  <c r="A3" i="14"/>
  <c r="B22" i="9"/>
  <c r="B8" i="29" l="1"/>
  <c r="B6" i="29"/>
  <c r="B5" i="29"/>
  <c r="F10" i="13" l="1"/>
  <c r="D41" i="14" l="1"/>
  <c r="D42" i="14"/>
  <c r="F17" i="13" l="1"/>
  <c r="I24" i="1" s="1"/>
  <c r="I27" i="1" s="1"/>
  <c r="I28" i="1" s="1"/>
  <c r="R25" i="1" l="1"/>
  <c r="R26" i="1"/>
  <c r="R27" i="1"/>
  <c r="I19" i="1" s="1"/>
  <c r="R24" i="1"/>
  <c r="R23" i="1"/>
  <c r="I18" i="1" s="1"/>
  <c r="E9" i="13"/>
  <c r="E8" i="13"/>
  <c r="E10" i="13"/>
  <c r="E12" i="13"/>
  <c r="E13" i="13"/>
  <c r="E14" i="13"/>
  <c r="E6" i="13"/>
  <c r="E7" i="13"/>
  <c r="C8" i="21"/>
  <c r="D8" i="21"/>
  <c r="C9" i="21"/>
  <c r="D9" i="21"/>
  <c r="C10" i="21"/>
  <c r="D10" i="21"/>
  <c r="C11" i="21"/>
  <c r="D11" i="21"/>
  <c r="C12" i="21"/>
  <c r="D12" i="21"/>
  <c r="C13" i="21"/>
  <c r="D13" i="21"/>
  <c r="C14" i="21"/>
  <c r="D14" i="21"/>
  <c r="C15" i="21"/>
  <c r="D15" i="21"/>
  <c r="C16" i="21"/>
  <c r="D16" i="21"/>
  <c r="C17" i="21"/>
  <c r="D17" i="21"/>
  <c r="C18" i="21"/>
  <c r="D18" i="21"/>
  <c r="C19" i="21"/>
  <c r="D19" i="21"/>
  <c r="C20" i="21"/>
  <c r="D20" i="21"/>
  <c r="C21" i="21"/>
  <c r="D21" i="21"/>
  <c r="C22" i="21"/>
  <c r="D22" i="21"/>
  <c r="D7" i="21"/>
  <c r="C7" i="21"/>
  <c r="D51" i="21"/>
  <c r="C51" i="21"/>
  <c r="E17" i="13" l="1"/>
  <c r="I6" i="13" l="1"/>
  <c r="I7" i="13"/>
  <c r="I10" i="13"/>
  <c r="I12" i="13"/>
  <c r="I14" i="13"/>
  <c r="I13" i="13" l="1"/>
  <c r="I17" i="13" s="1"/>
  <c r="K12" i="13"/>
  <c r="K10" i="13"/>
  <c r="D39" i="14" l="1"/>
  <c r="G14" i="9" l="1"/>
  <c r="C15" i="9"/>
  <c r="G15" i="9" s="1"/>
  <c r="D40" i="14" l="1"/>
  <c r="G4" i="21" l="1"/>
  <c r="A4" i="21"/>
  <c r="A3" i="7"/>
  <c r="A4" i="13" l="1"/>
  <c r="A4" i="28" l="1"/>
  <c r="G12" i="9" l="1"/>
  <c r="G17" i="9" s="1"/>
  <c r="B23" i="9" l="1"/>
  <c r="C13" i="9" s="1"/>
  <c r="A3" i="22"/>
  <c r="A3" i="27"/>
  <c r="A3" i="20"/>
  <c r="A3" i="9"/>
  <c r="A3" i="25"/>
  <c r="A3" i="18"/>
  <c r="A3" i="30"/>
  <c r="A3" i="1"/>
  <c r="G13" i="9" l="1"/>
  <c r="G16" i="9" s="1"/>
  <c r="B5" i="9" l="1"/>
  <c r="C5" i="9" l="1"/>
  <c r="D12" i="19" l="1"/>
  <c r="E12" i="19" s="1"/>
  <c r="H35" i="19"/>
  <c r="E37" i="19" s="1"/>
  <c r="F94" i="19"/>
  <c r="B93" i="19"/>
  <c r="C93" i="19"/>
  <c r="E93" i="19"/>
  <c r="F93" i="19"/>
  <c r="G93" i="19"/>
  <c r="L93" i="19"/>
  <c r="N187" i="19" s="1"/>
  <c r="K93" i="19"/>
  <c r="M187" i="19" s="1"/>
  <c r="J93" i="19"/>
  <c r="L67" i="19"/>
  <c r="S194" i="19"/>
  <c r="J210" i="19"/>
  <c r="J211" i="19" s="1"/>
  <c r="J212" i="19" s="1"/>
  <c r="J213" i="19" s="1"/>
  <c r="J214" i="19" s="1"/>
  <c r="J215" i="19" s="1"/>
  <c r="J216" i="19" s="1"/>
  <c r="J217" i="19" s="1"/>
  <c r="J218" i="19" s="1"/>
  <c r="J219" i="19" s="1"/>
  <c r="J220" i="19" s="1"/>
  <c r="J221" i="19" s="1"/>
  <c r="J222" i="19" s="1"/>
  <c r="J223" i="19" s="1"/>
  <c r="J224" i="19" s="1"/>
  <c r="J225" i="19" s="1"/>
  <c r="J226" i="19" s="1"/>
  <c r="J227" i="19" s="1"/>
  <c r="J228" i="19" s="1"/>
  <c r="J229" i="19" s="1"/>
  <c r="J230" i="19" s="1"/>
  <c r="J231" i="19" s="1"/>
  <c r="J232" i="19" s="1"/>
  <c r="G67" i="19" l="1"/>
  <c r="A70" i="19"/>
  <c r="A71" i="19" s="1"/>
  <c r="A72" i="19" s="1"/>
  <c r="A73" i="19" s="1"/>
  <c r="A74" i="19" s="1"/>
  <c r="A75" i="19" s="1"/>
  <c r="A76" i="19" s="1"/>
  <c r="A77" i="19" s="1"/>
  <c r="A78" i="19" s="1"/>
  <c r="A79" i="19" s="1"/>
  <c r="A80" i="19" s="1"/>
  <c r="A81" i="19" s="1"/>
  <c r="A82" i="19" s="1"/>
  <c r="A83" i="19" s="1"/>
  <c r="A84" i="19" s="1"/>
  <c r="A85" i="19" s="1"/>
  <c r="A86" i="19" s="1"/>
  <c r="A87" i="19" s="1"/>
  <c r="A88" i="19" s="1"/>
  <c r="A89" i="19" s="1"/>
  <c r="A90" i="19" s="1"/>
  <c r="A91" i="19" s="1"/>
  <c r="A92" i="19" s="1"/>
  <c r="H2" i="8" l="1"/>
  <c r="G2" i="8"/>
  <c r="F2" i="8"/>
  <c r="AA23" i="8"/>
  <c r="AA22" i="8"/>
  <c r="AA21" i="8"/>
  <c r="AA15" i="8"/>
  <c r="AA67" i="8"/>
  <c r="AA41" i="8"/>
  <c r="AA68" i="8"/>
  <c r="AA69" i="8"/>
  <c r="AA73" i="8"/>
  <c r="AA72" i="8"/>
  <c r="AA49" i="8"/>
  <c r="AA48" i="8"/>
  <c r="AA58" i="8"/>
  <c r="AA59" i="8"/>
  <c r="AA60" i="8"/>
  <c r="AA61" i="8"/>
  <c r="AA62" i="8"/>
  <c r="AA63" i="8"/>
  <c r="AA64" i="8"/>
  <c r="AA65" i="8"/>
  <c r="AA66" i="8"/>
  <c r="AA57" i="8"/>
  <c r="AA55" i="8"/>
  <c r="D2" i="8" s="1"/>
  <c r="C2" i="8"/>
  <c r="B2" i="8"/>
  <c r="AA47" i="8"/>
  <c r="AA46" i="8"/>
  <c r="AA45" i="8"/>
  <c r="AA44" i="8"/>
  <c r="AA43" i="8"/>
  <c r="AA42" i="8"/>
  <c r="AA40" i="8"/>
  <c r="AA39" i="8"/>
  <c r="AA38" i="8"/>
  <c r="AA37" i="8"/>
  <c r="AA36" i="8"/>
  <c r="AA35" i="8"/>
  <c r="AA34" i="8"/>
  <c r="AA33" i="8"/>
  <c r="AA32" i="8"/>
  <c r="AA31" i="8"/>
  <c r="AA30" i="8"/>
  <c r="AA20" i="8"/>
  <c r="AA19" i="8"/>
  <c r="AA18" i="8"/>
  <c r="AA17" i="8"/>
  <c r="AA16" i="8"/>
  <c r="AA14" i="8"/>
  <c r="AA13" i="8"/>
  <c r="AA12" i="8"/>
  <c r="AA11" i="8"/>
  <c r="AA10" i="8"/>
  <c r="AA9" i="8"/>
  <c r="AA8" i="8"/>
  <c r="AA7" i="8"/>
  <c r="AA6" i="8"/>
  <c r="AA5" i="8"/>
  <c r="AA4" i="8"/>
  <c r="Y50" i="12"/>
  <c r="Y30" i="12"/>
  <c r="Y31" i="12"/>
  <c r="Y32" i="12"/>
  <c r="Y33" i="12"/>
  <c r="Y34" i="12"/>
  <c r="Y35" i="12"/>
  <c r="Y36" i="12"/>
  <c r="Y37" i="12"/>
  <c r="Y38" i="12"/>
  <c r="Y39" i="12"/>
  <c r="Y40" i="12"/>
  <c r="Y41" i="12"/>
  <c r="Y42" i="12"/>
  <c r="Y43" i="12"/>
  <c r="Y44" i="12"/>
  <c r="Y45" i="12"/>
  <c r="Y46" i="12"/>
  <c r="Y47" i="12"/>
  <c r="Y48" i="12"/>
  <c r="Y49" i="12"/>
  <c r="F31" i="12"/>
  <c r="F32" i="12"/>
  <c r="F33" i="12"/>
  <c r="F34" i="12"/>
  <c r="F35" i="12"/>
  <c r="F36" i="12"/>
  <c r="F37" i="12"/>
  <c r="F38" i="12"/>
  <c r="F39" i="12"/>
  <c r="F40" i="12"/>
  <c r="F41" i="12"/>
  <c r="F42" i="12"/>
  <c r="F43" i="12"/>
  <c r="F46" i="12"/>
  <c r="F47" i="12"/>
  <c r="F48" i="12"/>
  <c r="F49" i="12"/>
  <c r="F50" i="12"/>
  <c r="F44" i="12" l="1"/>
  <c r="AO22" i="8"/>
  <c r="AP22" i="8"/>
  <c r="AE22" i="8"/>
  <c r="AG22" i="8"/>
  <c r="AF22" i="8"/>
  <c r="AI22" i="8"/>
  <c r="AL22" i="8"/>
  <c r="AM22" i="8"/>
  <c r="AC22" i="8"/>
  <c r="AH22" i="8"/>
  <c r="AD22" i="8"/>
  <c r="AJ22" i="8"/>
  <c r="AK22" i="8"/>
  <c r="AQ22" i="8"/>
  <c r="AN22" i="8"/>
  <c r="AB22" i="8"/>
  <c r="AI35" i="8"/>
  <c r="AJ35" i="8"/>
  <c r="AK35" i="8"/>
  <c r="AM35" i="8"/>
  <c r="AB35" i="8"/>
  <c r="AO35" i="8"/>
  <c r="AC35" i="8"/>
  <c r="AF35" i="8"/>
  <c r="AH35" i="8"/>
  <c r="AG35" i="8"/>
  <c r="AQ35" i="8"/>
  <c r="AE35" i="8"/>
  <c r="AD35" i="8"/>
  <c r="AL35" i="8"/>
  <c r="AN35" i="8"/>
  <c r="AP35" i="8"/>
  <c r="AN36" i="8"/>
  <c r="AP36" i="8"/>
  <c r="AO36" i="8"/>
  <c r="AD36" i="8"/>
  <c r="AE36" i="8"/>
  <c r="AF36" i="8"/>
  <c r="AH36" i="8"/>
  <c r="AK36" i="8"/>
  <c r="AL36" i="8"/>
  <c r="AM36" i="8"/>
  <c r="AC36" i="8"/>
  <c r="AG36" i="8"/>
  <c r="AI36" i="8"/>
  <c r="AJ36" i="8"/>
  <c r="AQ36" i="8"/>
  <c r="AB36" i="8"/>
  <c r="AD62" i="8"/>
  <c r="AE62" i="8"/>
  <c r="AF62" i="8"/>
  <c r="AG62" i="8"/>
  <c r="AH62" i="8"/>
  <c r="AI62" i="8"/>
  <c r="AJ62" i="8"/>
  <c r="AK62" i="8"/>
  <c r="AN62" i="8"/>
  <c r="AO62" i="8"/>
  <c r="AP62" i="8"/>
  <c r="AC62" i="8"/>
  <c r="AB62" i="8"/>
  <c r="AL62" i="8"/>
  <c r="AM62" i="8"/>
  <c r="AQ62" i="8"/>
  <c r="AD34" i="8"/>
  <c r="AE34" i="8"/>
  <c r="AF34" i="8"/>
  <c r="AH34" i="8"/>
  <c r="AJ34" i="8"/>
  <c r="AN34" i="8"/>
  <c r="AP34" i="8"/>
  <c r="AO34" i="8"/>
  <c r="AC34" i="8"/>
  <c r="AG34" i="8"/>
  <c r="AB34" i="8"/>
  <c r="AI34" i="8"/>
  <c r="AK34" i="8"/>
  <c r="AL34" i="8"/>
  <c r="AM34" i="8"/>
  <c r="AQ34" i="8"/>
  <c r="AK6" i="8"/>
  <c r="AL6" i="8"/>
  <c r="AM6" i="8"/>
  <c r="AO6" i="8"/>
  <c r="AQ6" i="8"/>
  <c r="AC6" i="8"/>
  <c r="AB6" i="8"/>
  <c r="AE6" i="8"/>
  <c r="AH6" i="8"/>
  <c r="AJ6" i="8"/>
  <c r="AI6" i="8"/>
  <c r="AF6" i="8"/>
  <c r="AG6" i="8"/>
  <c r="AD6" i="8"/>
  <c r="AP6" i="8"/>
  <c r="AN6" i="8"/>
  <c r="AO7" i="8"/>
  <c r="AP7" i="8"/>
  <c r="AQ7" i="8"/>
  <c r="AE7" i="8"/>
  <c r="AF7" i="8"/>
  <c r="AG7" i="8"/>
  <c r="AI7" i="8"/>
  <c r="AL7" i="8"/>
  <c r="AM7" i="8"/>
  <c r="AN7" i="8"/>
  <c r="AB7" i="8"/>
  <c r="AK7" i="8"/>
  <c r="AC7" i="8"/>
  <c r="AD7" i="8"/>
  <c r="AH7" i="8"/>
  <c r="AJ7" i="8"/>
  <c r="AC37" i="8"/>
  <c r="AE37" i="8"/>
  <c r="AB37" i="8"/>
  <c r="AI37" i="8"/>
  <c r="AK37" i="8"/>
  <c r="AJ37" i="8"/>
  <c r="AM37" i="8"/>
  <c r="AP37" i="8"/>
  <c r="AQ37" i="8"/>
  <c r="AD37" i="8"/>
  <c r="AF37" i="8"/>
  <c r="AG37" i="8"/>
  <c r="AL37" i="8"/>
  <c r="AN37" i="8"/>
  <c r="AO37" i="8"/>
  <c r="AH37" i="8"/>
  <c r="AC61" i="8"/>
  <c r="AD61" i="8"/>
  <c r="AE61" i="8"/>
  <c r="AF61" i="8"/>
  <c r="AI61" i="8"/>
  <c r="AJ61" i="8"/>
  <c r="AK61" i="8"/>
  <c r="AM61" i="8"/>
  <c r="AN61" i="8"/>
  <c r="AP61" i="8"/>
  <c r="AQ61" i="8"/>
  <c r="AB61" i="8"/>
  <c r="AG61" i="8"/>
  <c r="AO61" i="8"/>
  <c r="AH61" i="8"/>
  <c r="AL61" i="8"/>
  <c r="AN60" i="8"/>
  <c r="AO60" i="8"/>
  <c r="AP60" i="8"/>
  <c r="AQ60" i="8"/>
  <c r="AB60" i="8"/>
  <c r="AD60" i="8"/>
  <c r="AF60" i="8"/>
  <c r="AE60" i="8"/>
  <c r="AH60" i="8"/>
  <c r="AI60" i="8"/>
  <c r="AK60" i="8"/>
  <c r="AL60" i="8"/>
  <c r="AM60" i="8"/>
  <c r="AC60" i="8"/>
  <c r="AG60" i="8"/>
  <c r="AJ60" i="8"/>
  <c r="AC23" i="8"/>
  <c r="AE23" i="8"/>
  <c r="AI23" i="8"/>
  <c r="AJ23" i="8"/>
  <c r="AK23" i="8"/>
  <c r="AM23" i="8"/>
  <c r="AP23" i="8"/>
  <c r="AQ23" i="8"/>
  <c r="AB23" i="8"/>
  <c r="AD23" i="8"/>
  <c r="AF23" i="8"/>
  <c r="AG23" i="8"/>
  <c r="AH23" i="8"/>
  <c r="AL23" i="8"/>
  <c r="AN23" i="8"/>
  <c r="AO23" i="8"/>
  <c r="AC4" i="8"/>
  <c r="AD4" i="8"/>
  <c r="AE4" i="8"/>
  <c r="AG4" i="8"/>
  <c r="AI4" i="8"/>
  <c r="AM4" i="8"/>
  <c r="AN4" i="8"/>
  <c r="AO4" i="8"/>
  <c r="AQ4" i="8"/>
  <c r="AB4" i="8"/>
  <c r="AF4" i="8"/>
  <c r="AH4" i="8"/>
  <c r="AJ4" i="8"/>
  <c r="AK4" i="8"/>
  <c r="AL4" i="8"/>
  <c r="AP4" i="8"/>
  <c r="AC8" i="8"/>
  <c r="AE8" i="8"/>
  <c r="AI8" i="8"/>
  <c r="AK8" i="8"/>
  <c r="AJ8" i="8"/>
  <c r="AM8" i="8"/>
  <c r="AP8" i="8"/>
  <c r="AQ8" i="8"/>
  <c r="AH8" i="8"/>
  <c r="AL8" i="8"/>
  <c r="AN8" i="8"/>
  <c r="AO8" i="8"/>
  <c r="AG8" i="8"/>
  <c r="AB8" i="8"/>
  <c r="AD8" i="8"/>
  <c r="AF8" i="8"/>
  <c r="AC9" i="8"/>
  <c r="AE9" i="8"/>
  <c r="AD9" i="8"/>
  <c r="AG9" i="8"/>
  <c r="AI9" i="8"/>
  <c r="AM9" i="8"/>
  <c r="AN9" i="8"/>
  <c r="AO9" i="8"/>
  <c r="AQ9" i="8"/>
  <c r="AB9" i="8"/>
  <c r="AF9" i="8"/>
  <c r="AL9" i="8"/>
  <c r="AH9" i="8"/>
  <c r="AJ9" i="8"/>
  <c r="AK9" i="8"/>
  <c r="AP9" i="8"/>
  <c r="AI39" i="8"/>
  <c r="AK39" i="8"/>
  <c r="AJ39" i="8"/>
  <c r="AM39" i="8"/>
  <c r="AO39" i="8"/>
  <c r="AC39" i="8"/>
  <c r="AF39" i="8"/>
  <c r="AG39" i="8"/>
  <c r="AH39" i="8"/>
  <c r="AL39" i="8"/>
  <c r="AP39" i="8"/>
  <c r="AN39" i="8"/>
  <c r="AQ39" i="8"/>
  <c r="AB39" i="8"/>
  <c r="AD39" i="8"/>
  <c r="AE39" i="8"/>
  <c r="AI59" i="8"/>
  <c r="AJ59" i="8"/>
  <c r="AK59" i="8"/>
  <c r="AL59" i="8"/>
  <c r="AM59" i="8"/>
  <c r="AN59" i="8"/>
  <c r="AO59" i="8"/>
  <c r="AB59" i="8"/>
  <c r="AP59" i="8"/>
  <c r="AC59" i="8"/>
  <c r="AD59" i="8"/>
  <c r="AF59" i="8"/>
  <c r="AG59" i="8"/>
  <c r="AH59" i="8"/>
  <c r="AE59" i="8"/>
  <c r="AQ59" i="8"/>
  <c r="AG10" i="8"/>
  <c r="AH10" i="8"/>
  <c r="AI10" i="8"/>
  <c r="AK10" i="8"/>
  <c r="AM10" i="8"/>
  <c r="AQ10" i="8"/>
  <c r="AD10" i="8"/>
  <c r="AE10" i="8"/>
  <c r="AF10" i="8"/>
  <c r="AB10" i="8"/>
  <c r="AJ10" i="8"/>
  <c r="AC10" i="8"/>
  <c r="AO10" i="8"/>
  <c r="AL10" i="8"/>
  <c r="AN10" i="8"/>
  <c r="AP10" i="8"/>
  <c r="AN40" i="8"/>
  <c r="AO40" i="8"/>
  <c r="AP40" i="8"/>
  <c r="AD40" i="8"/>
  <c r="AF40" i="8"/>
  <c r="AE40" i="8"/>
  <c r="AH40" i="8"/>
  <c r="AK40" i="8"/>
  <c r="AM40" i="8"/>
  <c r="AL40" i="8"/>
  <c r="AQ40" i="8"/>
  <c r="AC40" i="8"/>
  <c r="AI40" i="8"/>
  <c r="AJ40" i="8"/>
  <c r="AG40" i="8"/>
  <c r="AB40" i="8"/>
  <c r="AD58" i="8"/>
  <c r="AE58" i="8"/>
  <c r="AF58" i="8"/>
  <c r="AG58" i="8"/>
  <c r="AH58" i="8"/>
  <c r="AI58" i="8"/>
  <c r="AB58" i="8"/>
  <c r="AJ58" i="8"/>
  <c r="AK58" i="8"/>
  <c r="AN58" i="8"/>
  <c r="AO58" i="8"/>
  <c r="AP58" i="8"/>
  <c r="AC58" i="8"/>
  <c r="AL58" i="8"/>
  <c r="AM58" i="8"/>
  <c r="AQ58" i="8"/>
  <c r="AD66" i="8"/>
  <c r="AE66" i="8"/>
  <c r="AF66" i="8"/>
  <c r="AG66" i="8"/>
  <c r="AH66" i="8"/>
  <c r="AI66" i="8"/>
  <c r="AJ66" i="8"/>
  <c r="AK66" i="8"/>
  <c r="AN66" i="8"/>
  <c r="AO66" i="8"/>
  <c r="AP66" i="8"/>
  <c r="AC66" i="8"/>
  <c r="AB66" i="8"/>
  <c r="AM66" i="8"/>
  <c r="AQ66" i="8"/>
  <c r="AL66" i="8"/>
  <c r="AI63" i="8"/>
  <c r="AJ63" i="8"/>
  <c r="AK63" i="8"/>
  <c r="AL63" i="8"/>
  <c r="AM63" i="8"/>
  <c r="AN63" i="8"/>
  <c r="AO63" i="8"/>
  <c r="AP63" i="8"/>
  <c r="AB63" i="8"/>
  <c r="AC63" i="8"/>
  <c r="AD63" i="8"/>
  <c r="AF63" i="8"/>
  <c r="AG63" i="8"/>
  <c r="AH63" i="8"/>
  <c r="AQ63" i="8"/>
  <c r="AE63" i="8"/>
  <c r="AD38" i="8"/>
  <c r="AE38" i="8"/>
  <c r="AF38" i="8"/>
  <c r="AH38" i="8"/>
  <c r="AJ38" i="8"/>
  <c r="AN38" i="8"/>
  <c r="AO38" i="8"/>
  <c r="AP38" i="8"/>
  <c r="AC38" i="8"/>
  <c r="AB38" i="8"/>
  <c r="AG38" i="8"/>
  <c r="AI38" i="8"/>
  <c r="AK38" i="8"/>
  <c r="AL38" i="8"/>
  <c r="AM38" i="8"/>
  <c r="AQ38" i="8"/>
  <c r="AK11" i="8"/>
  <c r="AM11" i="8"/>
  <c r="AL11" i="8"/>
  <c r="AO11" i="8"/>
  <c r="AQ11" i="8"/>
  <c r="AC11" i="8"/>
  <c r="AB11" i="8"/>
  <c r="AE11" i="8"/>
  <c r="AH11" i="8"/>
  <c r="AJ11" i="8"/>
  <c r="AI11" i="8"/>
  <c r="AN11" i="8"/>
  <c r="AP11" i="8"/>
  <c r="AD11" i="8"/>
  <c r="AF11" i="8"/>
  <c r="AG11" i="8"/>
  <c r="AD42" i="8"/>
  <c r="AF42" i="8"/>
  <c r="AE42" i="8"/>
  <c r="AH42" i="8"/>
  <c r="AJ42" i="8"/>
  <c r="AN42" i="8"/>
  <c r="AP42" i="8"/>
  <c r="AO42" i="8"/>
  <c r="AB42" i="8"/>
  <c r="AC42" i="8"/>
  <c r="AM42" i="8"/>
  <c r="AQ42" i="8"/>
  <c r="AL42" i="8"/>
  <c r="AG42" i="8"/>
  <c r="AI42" i="8"/>
  <c r="AK42" i="8"/>
  <c r="AN48" i="8"/>
  <c r="AP48" i="8"/>
  <c r="AO48" i="8"/>
  <c r="AD48" i="8"/>
  <c r="AF48" i="8"/>
  <c r="AE48" i="8"/>
  <c r="AH48" i="8"/>
  <c r="AK48" i="8"/>
  <c r="AB48" i="8"/>
  <c r="AM48" i="8"/>
  <c r="AL48" i="8"/>
  <c r="AC48" i="8"/>
  <c r="AJ48" i="8"/>
  <c r="AG48" i="8"/>
  <c r="AI48" i="8"/>
  <c r="AQ48" i="8"/>
  <c r="AO12" i="8"/>
  <c r="AP12" i="8"/>
  <c r="AE12" i="8"/>
  <c r="AF12" i="8"/>
  <c r="AG12" i="8"/>
  <c r="AI12" i="8"/>
  <c r="AL12" i="8"/>
  <c r="AM12" i="8"/>
  <c r="AN12" i="8"/>
  <c r="AB12" i="8"/>
  <c r="AC12" i="8"/>
  <c r="AD12" i="8"/>
  <c r="AJ12" i="8"/>
  <c r="AK12" i="8"/>
  <c r="AH12" i="8"/>
  <c r="AQ12" i="8"/>
  <c r="AC49" i="8"/>
  <c r="AE49" i="8"/>
  <c r="AI49" i="8"/>
  <c r="AJ49" i="8"/>
  <c r="AK49" i="8"/>
  <c r="AM49" i="8"/>
  <c r="AP49" i="8"/>
  <c r="AQ49" i="8"/>
  <c r="AB49" i="8"/>
  <c r="AH49" i="8"/>
  <c r="AL49" i="8"/>
  <c r="AN49" i="8"/>
  <c r="AO49" i="8"/>
  <c r="AD49" i="8"/>
  <c r="AF49" i="8"/>
  <c r="AG49" i="8"/>
  <c r="AC57" i="8"/>
  <c r="AB57" i="8"/>
  <c r="AD57" i="8"/>
  <c r="AE57" i="8"/>
  <c r="AF57" i="8"/>
  <c r="AI57" i="8"/>
  <c r="AJ57" i="8"/>
  <c r="AK57" i="8"/>
  <c r="AM57" i="8"/>
  <c r="AN57" i="8"/>
  <c r="AP57" i="8"/>
  <c r="AQ57" i="8"/>
  <c r="AG57" i="8"/>
  <c r="AL57" i="8"/>
  <c r="AH57" i="8"/>
  <c r="AO57" i="8"/>
  <c r="AB33" i="8"/>
  <c r="AC33" i="8"/>
  <c r="AD33" i="8"/>
  <c r="AE33" i="8"/>
  <c r="AI33" i="8"/>
  <c r="AJ33" i="8"/>
  <c r="AK33" i="8"/>
  <c r="AM33" i="8"/>
  <c r="AP33" i="8"/>
  <c r="AQ33" i="8"/>
  <c r="AF33" i="8"/>
  <c r="AG33" i="8"/>
  <c r="AH33" i="8"/>
  <c r="AL33" i="8"/>
  <c r="AN33" i="8"/>
  <c r="AO33" i="8"/>
  <c r="AN72" i="8"/>
  <c r="AO72" i="8"/>
  <c r="AP72" i="8"/>
  <c r="AQ72" i="8"/>
  <c r="AD72" i="8"/>
  <c r="AE72" i="8"/>
  <c r="AF72" i="8"/>
  <c r="AH72" i="8"/>
  <c r="AI72" i="8"/>
  <c r="AK72" i="8"/>
  <c r="AL72" i="8"/>
  <c r="AM72" i="8"/>
  <c r="AB72" i="8"/>
  <c r="AC72" i="8"/>
  <c r="AG72" i="8"/>
  <c r="AJ72" i="8"/>
  <c r="AN44" i="8"/>
  <c r="AP44" i="8"/>
  <c r="AO44" i="8"/>
  <c r="AD44" i="8"/>
  <c r="AE44" i="8"/>
  <c r="AF44" i="8"/>
  <c r="AH44" i="8"/>
  <c r="AK44" i="8"/>
  <c r="AL44" i="8"/>
  <c r="AM44" i="8"/>
  <c r="AG44" i="8"/>
  <c r="AB44" i="8"/>
  <c r="AI44" i="8"/>
  <c r="AQ44" i="8"/>
  <c r="AC44" i="8"/>
  <c r="AJ44" i="8"/>
  <c r="AC14" i="8"/>
  <c r="AD14" i="8"/>
  <c r="AG14" i="8"/>
  <c r="AI14" i="8"/>
  <c r="AM14" i="8"/>
  <c r="AN14" i="8"/>
  <c r="AO14" i="8"/>
  <c r="AQ14" i="8"/>
  <c r="AB14" i="8"/>
  <c r="AJ14" i="8"/>
  <c r="AK14" i="8"/>
  <c r="AL14" i="8"/>
  <c r="AP14" i="8"/>
  <c r="AH14" i="8"/>
  <c r="AE14" i="8"/>
  <c r="AF14" i="8"/>
  <c r="AC45" i="8"/>
  <c r="AE45" i="8"/>
  <c r="AI45" i="8"/>
  <c r="AK45" i="8"/>
  <c r="AJ45" i="8"/>
  <c r="AM45" i="8"/>
  <c r="AB45" i="8"/>
  <c r="AP45" i="8"/>
  <c r="AQ45" i="8"/>
  <c r="AO45" i="8"/>
  <c r="AD45" i="8"/>
  <c r="AF45" i="8"/>
  <c r="AG45" i="8"/>
  <c r="AH45" i="8"/>
  <c r="AL45" i="8"/>
  <c r="AN45" i="8"/>
  <c r="AB73" i="8"/>
  <c r="AC73" i="8"/>
  <c r="AD73" i="8"/>
  <c r="AE73" i="8"/>
  <c r="AF73" i="8"/>
  <c r="AI73" i="8"/>
  <c r="AJ73" i="8"/>
  <c r="AK73" i="8"/>
  <c r="AM73" i="8"/>
  <c r="AN73" i="8"/>
  <c r="AP73" i="8"/>
  <c r="AQ73" i="8"/>
  <c r="AG73" i="8"/>
  <c r="AH73" i="8"/>
  <c r="AL73" i="8"/>
  <c r="AO73" i="8"/>
  <c r="AI43" i="8"/>
  <c r="AJ43" i="8"/>
  <c r="AK43" i="8"/>
  <c r="AM43" i="8"/>
  <c r="AO43" i="8"/>
  <c r="AB43" i="8"/>
  <c r="AC43" i="8"/>
  <c r="AF43" i="8"/>
  <c r="AH43" i="8"/>
  <c r="AG43" i="8"/>
  <c r="AD43" i="8"/>
  <c r="AE43" i="8"/>
  <c r="AL43" i="8"/>
  <c r="AN43" i="8"/>
  <c r="AP43" i="8"/>
  <c r="AQ43" i="8"/>
  <c r="AK16" i="8"/>
  <c r="AL16" i="8"/>
  <c r="AO16" i="8"/>
  <c r="AQ16" i="8"/>
  <c r="AC16" i="8"/>
  <c r="AB16" i="8"/>
  <c r="AE16" i="8"/>
  <c r="AH16" i="8"/>
  <c r="AI16" i="8"/>
  <c r="AD16" i="8"/>
  <c r="AJ16" i="8"/>
  <c r="AF16" i="8"/>
  <c r="AG16" i="8"/>
  <c r="AM16" i="8"/>
  <c r="AN16" i="8"/>
  <c r="AP16" i="8"/>
  <c r="AD46" i="8"/>
  <c r="AF46" i="8"/>
  <c r="AE46" i="8"/>
  <c r="AH46" i="8"/>
  <c r="AJ46" i="8"/>
  <c r="AN46" i="8"/>
  <c r="AO46" i="8"/>
  <c r="AP46" i="8"/>
  <c r="AC46" i="8"/>
  <c r="AG46" i="8"/>
  <c r="AK46" i="8"/>
  <c r="AI46" i="8"/>
  <c r="AL46" i="8"/>
  <c r="AM46" i="8"/>
  <c r="AQ46" i="8"/>
  <c r="AB46" i="8"/>
  <c r="AC69" i="8"/>
  <c r="AD69" i="8"/>
  <c r="AE69" i="8"/>
  <c r="AF69" i="8"/>
  <c r="AI69" i="8"/>
  <c r="AJ69" i="8"/>
  <c r="AK69" i="8"/>
  <c r="AM69" i="8"/>
  <c r="AN69" i="8"/>
  <c r="AP69" i="8"/>
  <c r="AQ69" i="8"/>
  <c r="AB69" i="8"/>
  <c r="AO69" i="8"/>
  <c r="AG69" i="8"/>
  <c r="AH69" i="8"/>
  <c r="AL69" i="8"/>
  <c r="AN64" i="8"/>
  <c r="AO64" i="8"/>
  <c r="AP64" i="8"/>
  <c r="AQ64" i="8"/>
  <c r="AD64" i="8"/>
  <c r="AE64" i="8"/>
  <c r="AB64" i="8"/>
  <c r="AF64" i="8"/>
  <c r="AH64" i="8"/>
  <c r="AI64" i="8"/>
  <c r="AK64" i="8"/>
  <c r="AL64" i="8"/>
  <c r="AM64" i="8"/>
  <c r="AJ64" i="8"/>
  <c r="AC64" i="8"/>
  <c r="AG64" i="8"/>
  <c r="AG5" i="8"/>
  <c r="AI5" i="8"/>
  <c r="AH5" i="8"/>
  <c r="AK5" i="8"/>
  <c r="AM5" i="8"/>
  <c r="AQ5" i="8"/>
  <c r="AD5" i="8"/>
  <c r="AE5" i="8"/>
  <c r="AF5" i="8"/>
  <c r="AJ5" i="8"/>
  <c r="AN5" i="8"/>
  <c r="AL5" i="8"/>
  <c r="AO5" i="8"/>
  <c r="AP5" i="8"/>
  <c r="AC5" i="8"/>
  <c r="AB5" i="8"/>
  <c r="AC13" i="8"/>
  <c r="AE13" i="8"/>
  <c r="AI13" i="8"/>
  <c r="AK13" i="8"/>
  <c r="AJ13" i="8"/>
  <c r="AM13" i="8"/>
  <c r="AP13" i="8"/>
  <c r="AQ13" i="8"/>
  <c r="AB13" i="8"/>
  <c r="AD13" i="8"/>
  <c r="AF13" i="8"/>
  <c r="AG13" i="8"/>
  <c r="AH13" i="8"/>
  <c r="AL13" i="8"/>
  <c r="AN13" i="8"/>
  <c r="AO13" i="8"/>
  <c r="AO17" i="8"/>
  <c r="AP17" i="8"/>
  <c r="AE17" i="8"/>
  <c r="AF17" i="8"/>
  <c r="AG17" i="8"/>
  <c r="AI17" i="8"/>
  <c r="AL17" i="8"/>
  <c r="AM17" i="8"/>
  <c r="AC17" i="8"/>
  <c r="AH17" i="8"/>
  <c r="AD17" i="8"/>
  <c r="AJ17" i="8"/>
  <c r="AK17" i="8"/>
  <c r="AQ17" i="8"/>
  <c r="AN17" i="8"/>
  <c r="AB17" i="8"/>
  <c r="AI47" i="8"/>
  <c r="AJ47" i="8"/>
  <c r="AK47" i="8"/>
  <c r="AM47" i="8"/>
  <c r="AO47" i="8"/>
  <c r="AC47" i="8"/>
  <c r="AF47" i="8"/>
  <c r="AG47" i="8"/>
  <c r="AH47" i="8"/>
  <c r="AD47" i="8"/>
  <c r="AE47" i="8"/>
  <c r="AL47" i="8"/>
  <c r="AN47" i="8"/>
  <c r="AP47" i="8"/>
  <c r="AQ47" i="8"/>
  <c r="AB47" i="8"/>
  <c r="AN68" i="8"/>
  <c r="AO68" i="8"/>
  <c r="AP68" i="8"/>
  <c r="AQ68" i="8"/>
  <c r="AD68" i="8"/>
  <c r="AE68" i="8"/>
  <c r="AF68" i="8"/>
  <c r="AH68" i="8"/>
  <c r="AI68" i="8"/>
  <c r="AB68" i="8"/>
  <c r="AK68" i="8"/>
  <c r="AL68" i="8"/>
  <c r="AM68" i="8"/>
  <c r="AC68" i="8"/>
  <c r="AG68" i="8"/>
  <c r="AJ68" i="8"/>
  <c r="AN32" i="8"/>
  <c r="AO32" i="8"/>
  <c r="AB32" i="8"/>
  <c r="AP32" i="8"/>
  <c r="AD32" i="8"/>
  <c r="AE32" i="8"/>
  <c r="AF32" i="8"/>
  <c r="AH32" i="8"/>
  <c r="AK32" i="8"/>
  <c r="AL32" i="8"/>
  <c r="AM32" i="8"/>
  <c r="AJ32" i="8"/>
  <c r="AQ32" i="8"/>
  <c r="AC32" i="8"/>
  <c r="AG32" i="8"/>
  <c r="AI32" i="8"/>
  <c r="AC41" i="8"/>
  <c r="AE41" i="8"/>
  <c r="AI41" i="8"/>
  <c r="AB41" i="8"/>
  <c r="AJ41" i="8"/>
  <c r="AK41" i="8"/>
  <c r="AM41" i="8"/>
  <c r="AP41" i="8"/>
  <c r="AQ41" i="8"/>
  <c r="AD41" i="8"/>
  <c r="AF41" i="8"/>
  <c r="AG41" i="8"/>
  <c r="AH41" i="8"/>
  <c r="AO41" i="8"/>
  <c r="AL41" i="8"/>
  <c r="AN41" i="8"/>
  <c r="AI67" i="8"/>
  <c r="AJ67" i="8"/>
  <c r="AK67" i="8"/>
  <c r="AL67" i="8"/>
  <c r="AM67" i="8"/>
  <c r="AN67" i="8"/>
  <c r="AO67" i="8"/>
  <c r="AP67" i="8"/>
  <c r="AC67" i="8"/>
  <c r="AB67" i="8"/>
  <c r="AD67" i="8"/>
  <c r="AF67" i="8"/>
  <c r="AH67" i="8"/>
  <c r="AG67" i="8"/>
  <c r="AE67" i="8"/>
  <c r="AQ67" i="8"/>
  <c r="AI31" i="8"/>
  <c r="AB31" i="8"/>
  <c r="AK31" i="8"/>
  <c r="AJ31" i="8"/>
  <c r="AM31" i="8"/>
  <c r="AN31" i="8"/>
  <c r="AO31" i="8"/>
  <c r="AC31" i="8"/>
  <c r="AD31" i="8"/>
  <c r="AF31" i="8"/>
  <c r="AH31" i="8"/>
  <c r="AG31" i="8"/>
  <c r="AE31" i="8"/>
  <c r="AL31" i="8"/>
  <c r="AP31" i="8"/>
  <c r="AQ31" i="8"/>
  <c r="AC65" i="8"/>
  <c r="AD65" i="8"/>
  <c r="AE65" i="8"/>
  <c r="AF65" i="8"/>
  <c r="AI65" i="8"/>
  <c r="AK65" i="8"/>
  <c r="AB65" i="8"/>
  <c r="AJ65" i="8"/>
  <c r="AM65" i="8"/>
  <c r="AN65" i="8"/>
  <c r="AP65" i="8"/>
  <c r="AQ65" i="8"/>
  <c r="AG65" i="8"/>
  <c r="AO65" i="8"/>
  <c r="AH65" i="8"/>
  <c r="AL65" i="8"/>
  <c r="AC18" i="8"/>
  <c r="AE18" i="8"/>
  <c r="AI18" i="8"/>
  <c r="AK18" i="8"/>
  <c r="AJ18" i="8"/>
  <c r="AM18" i="8"/>
  <c r="AP18" i="8"/>
  <c r="AQ18" i="8"/>
  <c r="AB18" i="8"/>
  <c r="AF18" i="8"/>
  <c r="AG18" i="8"/>
  <c r="AD18" i="8"/>
  <c r="AH18" i="8"/>
  <c r="AL18" i="8"/>
  <c r="AN18" i="8"/>
  <c r="AO18" i="8"/>
  <c r="AC19" i="8"/>
  <c r="AD19" i="8"/>
  <c r="AG19" i="8"/>
  <c r="AI19" i="8"/>
  <c r="AM19" i="8"/>
  <c r="AN19" i="8"/>
  <c r="AO19" i="8"/>
  <c r="AQ19" i="8"/>
  <c r="AK19" i="8"/>
  <c r="AL19" i="8"/>
  <c r="AP19" i="8"/>
  <c r="AJ19" i="8"/>
  <c r="AB19" i="8"/>
  <c r="AE19" i="8"/>
  <c r="AF19" i="8"/>
  <c r="AH19" i="8"/>
  <c r="AG20" i="8"/>
  <c r="AH20" i="8"/>
  <c r="AK20" i="8"/>
  <c r="AM20" i="8"/>
  <c r="AQ20" i="8"/>
  <c r="AD20" i="8"/>
  <c r="AE20" i="8"/>
  <c r="AL20" i="8"/>
  <c r="AB20" i="8"/>
  <c r="AJ20" i="8"/>
  <c r="AC20" i="8"/>
  <c r="AF20" i="8"/>
  <c r="AI20" i="8"/>
  <c r="AN20" i="8"/>
  <c r="AO20" i="8"/>
  <c r="AP20" i="8"/>
  <c r="AG15" i="8"/>
  <c r="AH15" i="8"/>
  <c r="AK15" i="8"/>
  <c r="AM15" i="8"/>
  <c r="AQ15" i="8"/>
  <c r="AD15" i="8"/>
  <c r="AE15" i="8"/>
  <c r="AF15" i="8"/>
  <c r="AL15" i="8"/>
  <c r="AB15" i="8"/>
  <c r="AC15" i="8"/>
  <c r="AI15" i="8"/>
  <c r="AJ15" i="8"/>
  <c r="AN15" i="8"/>
  <c r="AO15" i="8"/>
  <c r="AP15" i="8"/>
  <c r="AD30" i="8"/>
  <c r="AE30" i="8"/>
  <c r="AF30" i="8"/>
  <c r="AH30" i="8"/>
  <c r="AI30" i="8"/>
  <c r="AJ30" i="8"/>
  <c r="AN30" i="8"/>
  <c r="AP30" i="8"/>
  <c r="AO30" i="8"/>
  <c r="AC30" i="8"/>
  <c r="AB30" i="8"/>
  <c r="AK30" i="8"/>
  <c r="AL30" i="8"/>
  <c r="AM30" i="8"/>
  <c r="AQ30" i="8"/>
  <c r="AG30" i="8"/>
  <c r="AK21" i="8"/>
  <c r="AL21" i="8"/>
  <c r="AO21" i="8"/>
  <c r="AQ21" i="8"/>
  <c r="AB21" i="8"/>
  <c r="AC21" i="8"/>
  <c r="AE21" i="8"/>
  <c r="AH21" i="8"/>
  <c r="AI21" i="8"/>
  <c r="AD21" i="8"/>
  <c r="AJ21" i="8"/>
  <c r="AF21" i="8"/>
  <c r="AG21" i="8"/>
  <c r="AM21" i="8"/>
  <c r="AP21" i="8"/>
  <c r="AN21" i="8"/>
  <c r="AA74" i="8"/>
  <c r="AA71" i="8"/>
  <c r="AA76" i="8"/>
  <c r="AA29" i="8"/>
  <c r="AA75" i="8"/>
  <c r="AA70" i="8"/>
  <c r="AA3" i="8"/>
  <c r="AB3" i="8" s="1"/>
  <c r="F45" i="12"/>
  <c r="F30" i="12" l="1"/>
  <c r="G45" i="12"/>
  <c r="G44" i="12"/>
  <c r="AI71" i="8"/>
  <c r="AK71" i="8"/>
  <c r="AJ71" i="8"/>
  <c r="AL71" i="8"/>
  <c r="AM71" i="8"/>
  <c r="AN71" i="8"/>
  <c r="AO71" i="8"/>
  <c r="AP71" i="8"/>
  <c r="AC71" i="8"/>
  <c r="AD71" i="8"/>
  <c r="AF71" i="8"/>
  <c r="AG71" i="8"/>
  <c r="AB71" i="8"/>
  <c r="AH71" i="8"/>
  <c r="AE71" i="8"/>
  <c r="AQ71" i="8"/>
  <c r="AD74" i="8"/>
  <c r="AE74" i="8"/>
  <c r="AB74" i="8"/>
  <c r="AF74" i="8"/>
  <c r="AG74" i="8"/>
  <c r="AH74" i="8"/>
  <c r="AI74" i="8"/>
  <c r="AJ74" i="8"/>
  <c r="AK74" i="8"/>
  <c r="AN74" i="8"/>
  <c r="AP74" i="8"/>
  <c r="AO74" i="8"/>
  <c r="AC74" i="8"/>
  <c r="AL74" i="8"/>
  <c r="AM74" i="8"/>
  <c r="AQ74" i="8"/>
  <c r="AD70" i="8"/>
  <c r="AE70" i="8"/>
  <c r="AF70" i="8"/>
  <c r="AG70" i="8"/>
  <c r="AH70" i="8"/>
  <c r="AI70" i="8"/>
  <c r="AJ70" i="8"/>
  <c r="AK70" i="8"/>
  <c r="AN70" i="8"/>
  <c r="AP70" i="8"/>
  <c r="AO70" i="8"/>
  <c r="AB70" i="8"/>
  <c r="AC70" i="8"/>
  <c r="AL70" i="8"/>
  <c r="AQ70" i="8"/>
  <c r="AM70" i="8"/>
  <c r="AI75" i="8"/>
  <c r="AJ75" i="8"/>
  <c r="AK75" i="8"/>
  <c r="AB75" i="8"/>
  <c r="AL75" i="8"/>
  <c r="AM75" i="8"/>
  <c r="AN75" i="8"/>
  <c r="AO75" i="8"/>
  <c r="AP75" i="8"/>
  <c r="AC75" i="8"/>
  <c r="AD75" i="8"/>
  <c r="AF75" i="8"/>
  <c r="AG75" i="8"/>
  <c r="AH75" i="8"/>
  <c r="AE75" i="8"/>
  <c r="AQ75" i="8"/>
  <c r="AC29" i="8"/>
  <c r="AC50" i="8" s="1"/>
  <c r="AD29" i="8"/>
  <c r="AD50" i="8" s="1"/>
  <c r="AE29" i="8"/>
  <c r="AE50" i="8" s="1"/>
  <c r="AF29" i="8"/>
  <c r="AF50" i="8" s="1"/>
  <c r="AI29" i="8"/>
  <c r="AI50" i="8" s="1"/>
  <c r="AJ29" i="8"/>
  <c r="AJ50" i="8" s="1"/>
  <c r="AK29" i="8"/>
  <c r="AK50" i="8" s="1"/>
  <c r="AM29" i="8"/>
  <c r="AM50" i="8" s="1"/>
  <c r="AN29" i="8"/>
  <c r="AN50" i="8" s="1"/>
  <c r="AP29" i="8"/>
  <c r="AP50" i="8" s="1"/>
  <c r="AQ29" i="8"/>
  <c r="AQ50" i="8" s="1"/>
  <c r="AG29" i="8"/>
  <c r="AG50" i="8" s="1"/>
  <c r="AL29" i="8"/>
  <c r="AL50" i="8" s="1"/>
  <c r="AO29" i="8"/>
  <c r="AO50" i="8" s="1"/>
  <c r="AH29" i="8"/>
  <c r="AH50" i="8" s="1"/>
  <c r="AN76" i="8"/>
  <c r="AO76" i="8"/>
  <c r="AP76" i="8"/>
  <c r="AQ76" i="8"/>
  <c r="AB76" i="8"/>
  <c r="AD76" i="8"/>
  <c r="AE76" i="8"/>
  <c r="AF76" i="8"/>
  <c r="AH76" i="8"/>
  <c r="AI76" i="8"/>
  <c r="AK76" i="8"/>
  <c r="AM76" i="8"/>
  <c r="AL76" i="8"/>
  <c r="AC76" i="8"/>
  <c r="AG76" i="8"/>
  <c r="AJ76" i="8"/>
  <c r="AD3" i="8"/>
  <c r="AD24" i="8" s="1"/>
  <c r="AE3" i="8"/>
  <c r="AE24" i="8" s="1"/>
  <c r="AH3" i="8"/>
  <c r="AH24" i="8" s="1"/>
  <c r="AJ3" i="8"/>
  <c r="AJ24" i="8" s="1"/>
  <c r="AN3" i="8"/>
  <c r="AN24" i="8" s="1"/>
  <c r="AP3" i="8"/>
  <c r="AP24" i="8" s="1"/>
  <c r="AO3" i="8"/>
  <c r="AO24" i="8" s="1"/>
  <c r="AL3" i="8"/>
  <c r="AL24" i="8" s="1"/>
  <c r="AM3" i="8"/>
  <c r="AM24" i="8" s="1"/>
  <c r="AQ3" i="8"/>
  <c r="AQ24" i="8" s="1"/>
  <c r="AC3" i="8"/>
  <c r="AC24" i="8" s="1"/>
  <c r="AF3" i="8"/>
  <c r="AF24" i="8" s="1"/>
  <c r="AG3" i="8"/>
  <c r="AG24" i="8" s="1"/>
  <c r="AI3" i="8"/>
  <c r="AI24" i="8" s="1"/>
  <c r="AK3" i="8"/>
  <c r="AK24" i="8" s="1"/>
  <c r="AB29" i="8"/>
  <c r="AB50" i="8" s="1"/>
  <c r="AA56" i="8"/>
  <c r="G30" i="12" l="1"/>
  <c r="G46" i="12"/>
  <c r="G31" i="12"/>
  <c r="G33" i="12"/>
  <c r="G39" i="12"/>
  <c r="G32" i="12"/>
  <c r="G50" i="12"/>
  <c r="G35" i="12"/>
  <c r="G36" i="12"/>
  <c r="G40" i="12"/>
  <c r="G37" i="12"/>
  <c r="G47" i="12"/>
  <c r="G42" i="12"/>
  <c r="G48" i="12"/>
  <c r="G38" i="12"/>
  <c r="G41" i="12"/>
  <c r="G43" i="12"/>
  <c r="G49" i="12"/>
  <c r="G34" i="12"/>
  <c r="AK25" i="8"/>
  <c r="AI25" i="8"/>
  <c r="AN56" i="8"/>
  <c r="AN77" i="8" s="1"/>
  <c r="AN78" i="8" s="1"/>
  <c r="AO56" i="8"/>
  <c r="AO77" i="8" s="1"/>
  <c r="AO78" i="8" s="1"/>
  <c r="AP56" i="8"/>
  <c r="AP77" i="8" s="1"/>
  <c r="AP78" i="8" s="1"/>
  <c r="AQ56" i="8"/>
  <c r="AQ77" i="8" s="1"/>
  <c r="AQ78" i="8" s="1"/>
  <c r="AD56" i="8"/>
  <c r="AD77" i="8" s="1"/>
  <c r="AD25" i="8" s="1"/>
  <c r="AF56" i="8"/>
  <c r="AF77" i="8" s="1"/>
  <c r="AF78" i="8" s="1"/>
  <c r="AE56" i="8"/>
  <c r="AE77" i="8" s="1"/>
  <c r="AE78" i="8" s="1"/>
  <c r="D6" i="8" s="1"/>
  <c r="AH56" i="8"/>
  <c r="AH77" i="8" s="1"/>
  <c r="AH78" i="8" s="1"/>
  <c r="AI56" i="8"/>
  <c r="AI77" i="8" s="1"/>
  <c r="AI78" i="8" s="1"/>
  <c r="AK56" i="8"/>
  <c r="AK77" i="8" s="1"/>
  <c r="AK78" i="8" s="1"/>
  <c r="AL56" i="8"/>
  <c r="AL77" i="8" s="1"/>
  <c r="AL78" i="8" s="1"/>
  <c r="AM56" i="8"/>
  <c r="AM77" i="8" s="1"/>
  <c r="AM78" i="8" s="1"/>
  <c r="AC56" i="8"/>
  <c r="AC77" i="8" s="1"/>
  <c r="AC78" i="8" s="1"/>
  <c r="AG56" i="8"/>
  <c r="AG77" i="8" s="1"/>
  <c r="AG78" i="8" s="1"/>
  <c r="D8" i="8" s="1"/>
  <c r="AJ56" i="8"/>
  <c r="AJ77" i="8" s="1"/>
  <c r="AJ78" i="8" s="1"/>
  <c r="AQ25" i="8"/>
  <c r="AC51" i="8"/>
  <c r="AO25" i="8"/>
  <c r="H10" i="8"/>
  <c r="H11" i="8"/>
  <c r="H16" i="8"/>
  <c r="H17" i="8"/>
  <c r="H5" i="8"/>
  <c r="H6" i="8"/>
  <c r="H13" i="8"/>
  <c r="H9" i="8"/>
  <c r="H12" i="8"/>
  <c r="H15" i="8"/>
  <c r="H14" i="8"/>
  <c r="AB24" i="8"/>
  <c r="AB56" i="8"/>
  <c r="AB77" i="8" s="1"/>
  <c r="H3" i="8"/>
  <c r="AF51" i="8" l="1"/>
  <c r="AP51" i="8"/>
  <c r="B17" i="8" s="1"/>
  <c r="AC25" i="8"/>
  <c r="AN51" i="8"/>
  <c r="AG25" i="8"/>
  <c r="AE51" i="8"/>
  <c r="AP25" i="8"/>
  <c r="AF25" i="8"/>
  <c r="AI51" i="8"/>
  <c r="AN25" i="8"/>
  <c r="G14" i="8"/>
  <c r="G13" i="8"/>
  <c r="AK51" i="8"/>
  <c r="AM51" i="8"/>
  <c r="B14" i="8" s="1"/>
  <c r="AQ51" i="8"/>
  <c r="AH25" i="8"/>
  <c r="C9" i="8" s="1"/>
  <c r="AG51" i="8"/>
  <c r="B8" i="8" s="1"/>
  <c r="AD51" i="8"/>
  <c r="B5" i="8" s="1"/>
  <c r="AD78" i="8"/>
  <c r="D5" i="8" s="1"/>
  <c r="AL51" i="8"/>
  <c r="B13" i="8" s="1"/>
  <c r="AJ51" i="8"/>
  <c r="B11" i="8" s="1"/>
  <c r="AE25" i="8"/>
  <c r="AO51" i="8"/>
  <c r="B16" i="8" s="1"/>
  <c r="AL25" i="8"/>
  <c r="C13" i="8" s="1"/>
  <c r="AH51" i="8"/>
  <c r="B9" i="8" s="1"/>
  <c r="AM25" i="8"/>
  <c r="C14" i="8" s="1"/>
  <c r="AJ25" i="8"/>
  <c r="C11" i="8" s="1"/>
  <c r="G10" i="8"/>
  <c r="G7" i="8"/>
  <c r="G9" i="8"/>
  <c r="F16" i="8"/>
  <c r="F5" i="8"/>
  <c r="G16" i="8"/>
  <c r="G5" i="8"/>
  <c r="F4" i="8"/>
  <c r="H4" i="8"/>
  <c r="G17" i="8"/>
  <c r="H18" i="8"/>
  <c r="G18" i="8"/>
  <c r="F14" i="8"/>
  <c r="F6" i="8"/>
  <c r="F15" i="8"/>
  <c r="F11" i="8"/>
  <c r="F8" i="8"/>
  <c r="H8" i="8"/>
  <c r="F9" i="8"/>
  <c r="F10" i="8"/>
  <c r="G8" i="8"/>
  <c r="G11" i="8"/>
  <c r="F18" i="8"/>
  <c r="G12" i="8"/>
  <c r="F12" i="8"/>
  <c r="F17" i="8"/>
  <c r="F3" i="8"/>
  <c r="G15" i="8"/>
  <c r="G3" i="8"/>
  <c r="H7" i="8"/>
  <c r="AB78" i="8"/>
  <c r="D3" i="8" s="1"/>
  <c r="F13" i="8"/>
  <c r="F7" i="8"/>
  <c r="G6" i="8"/>
  <c r="G4" i="8"/>
  <c r="D13" i="8"/>
  <c r="D12" i="8"/>
  <c r="B12" i="8"/>
  <c r="AB25" i="8"/>
  <c r="C3" i="8" s="1"/>
  <c r="AB51" i="8"/>
  <c r="B3" i="8" s="1"/>
  <c r="D15" i="8"/>
  <c r="C15" i="8"/>
  <c r="B15" i="8"/>
  <c r="D18" i="8"/>
  <c r="B18" i="8"/>
  <c r="C18" i="8"/>
  <c r="D10" i="8"/>
  <c r="B10" i="8"/>
  <c r="C10" i="8"/>
  <c r="D4" i="8"/>
  <c r="B4" i="8"/>
  <c r="C4" i="8"/>
  <c r="D14" i="8"/>
  <c r="D16" i="8"/>
  <c r="C16" i="8"/>
  <c r="D9" i="8"/>
  <c r="D11" i="8"/>
  <c r="C5" i="8"/>
  <c r="D7" i="8"/>
  <c r="B7" i="8"/>
  <c r="C7" i="8"/>
  <c r="D17" i="8"/>
  <c r="C17" i="8"/>
  <c r="C8" i="8"/>
  <c r="B6" i="8"/>
  <c r="C6" i="8"/>
  <c r="C12" i="8"/>
  <c r="M16" i="8" l="1"/>
  <c r="M18" i="8"/>
  <c r="M5" i="8"/>
  <c r="M4" i="8"/>
  <c r="M6" i="8"/>
  <c r="M17" i="8"/>
  <c r="M9" i="8"/>
  <c r="M10" i="8"/>
  <c r="M15" i="8"/>
  <c r="M7" i="8"/>
  <c r="M12" i="8"/>
  <c r="M8" i="8"/>
  <c r="M13" i="8"/>
  <c r="M14" i="8"/>
  <c r="M11" i="8"/>
  <c r="M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Mohsen Abrishami</author>
  </authors>
  <commentList>
    <comment ref="V2" authorId="0" shapeId="0" xr:uid="{8541F3FF-34E2-4EAF-A6B3-DF58528C4B35}">
      <text>
        <r>
          <rPr>
            <b/>
            <sz val="9"/>
            <color indexed="81"/>
            <rFont val="Tahoma"/>
            <family val="2"/>
          </rPr>
          <t xml:space="preserve">
</t>
        </r>
        <r>
          <rPr>
            <b/>
            <sz val="12"/>
            <color indexed="81"/>
            <rFont val="Tahoma"/>
            <family val="2"/>
          </rPr>
          <t>Saturation is defined as the % of total floorspace for each combination of end-use and fuel-type.</t>
        </r>
        <r>
          <rPr>
            <sz val="9"/>
            <color indexed="81"/>
            <rFont val="Tahoma"/>
            <family val="2"/>
          </rPr>
          <t xml:space="preserve">
</t>
        </r>
      </text>
    </comment>
    <comment ref="W2" authorId="0" shapeId="0" xr:uid="{3D828133-450F-411E-B666-E0200E0B6AE7}">
      <text>
        <r>
          <rPr>
            <b/>
            <sz val="9"/>
            <color indexed="81"/>
            <rFont val="Tahoma"/>
            <family val="2"/>
          </rPr>
          <t xml:space="preserve">
</t>
        </r>
        <r>
          <rPr>
            <b/>
            <sz val="12"/>
            <color indexed="81"/>
            <rFont val="Tahoma"/>
            <family val="2"/>
          </rPr>
          <t>Saturation is defined as the % of total floorspace for each combination of end-use and fuel-type.</t>
        </r>
        <r>
          <rPr>
            <sz val="9"/>
            <color indexed="81"/>
            <rFont val="Tahoma"/>
            <family val="2"/>
          </rPr>
          <t xml:space="preserve">
</t>
        </r>
      </text>
    </comment>
    <comment ref="X2" authorId="0" shapeId="0" xr:uid="{D6FDDBD7-C360-49BF-9C2B-2BF7D93EA984}">
      <text>
        <r>
          <rPr>
            <b/>
            <sz val="9"/>
            <color indexed="81"/>
            <rFont val="Tahoma"/>
            <family val="2"/>
          </rPr>
          <t xml:space="preserve">
</t>
        </r>
        <r>
          <rPr>
            <b/>
            <sz val="12"/>
            <color indexed="81"/>
            <rFont val="Tahoma"/>
            <family val="2"/>
          </rPr>
          <t>Saturation is defined as the % of total floorspace for each combination of end-use and fuel-type.</t>
        </r>
        <r>
          <rPr>
            <sz val="9"/>
            <color indexed="81"/>
            <rFont val="Tahoma"/>
            <family val="2"/>
          </rPr>
          <t xml:space="preserve">
</t>
        </r>
      </text>
    </comment>
    <comment ref="AA2" authorId="0" shapeId="0" xr:uid="{954F4E39-FCE0-4476-8201-A4F0B0C3373F}">
      <text>
        <r>
          <rPr>
            <b/>
            <sz val="9"/>
            <color indexed="81"/>
            <rFont val="Tahoma"/>
            <family val="2"/>
          </rPr>
          <t xml:space="preserve">
</t>
        </r>
        <r>
          <rPr>
            <b/>
            <sz val="12"/>
            <color indexed="81"/>
            <rFont val="Tahoma"/>
            <family val="2"/>
          </rPr>
          <t>Saturation is defined as the % of total floorspace for each combination of end-use and fuel-type.</t>
        </r>
        <r>
          <rPr>
            <sz val="9"/>
            <color indexed="81"/>
            <rFont val="Tahoma"/>
            <family val="2"/>
          </rPr>
          <t xml:space="preserve">
</t>
        </r>
      </text>
    </comment>
    <comment ref="AA28" authorId="0" shapeId="0" xr:uid="{56D0411F-5CCC-4D5F-87BD-B2310DDB8854}">
      <text>
        <r>
          <rPr>
            <b/>
            <sz val="9"/>
            <color indexed="81"/>
            <rFont val="Tahoma"/>
            <family val="2"/>
          </rPr>
          <t xml:space="preserve">
</t>
        </r>
        <r>
          <rPr>
            <b/>
            <sz val="12"/>
            <color indexed="81"/>
            <rFont val="Tahoma"/>
            <family val="2"/>
          </rPr>
          <t>Saturation is defined as the % of total floorspace for each combination of end-use and fuel-type.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Mohsen Abrishami</author>
  </authors>
  <commentList>
    <comment ref="I1" authorId="0" shapeId="0" xr:uid="{2EBDC8A0-08AB-4BAC-927A-C34674EF12F3}">
      <text>
        <r>
          <rPr>
            <b/>
            <sz val="9"/>
            <color indexed="81"/>
            <rFont val="Tahoma"/>
            <family val="2"/>
          </rPr>
          <t xml:space="preserve">
</t>
        </r>
        <r>
          <rPr>
            <b/>
            <sz val="12"/>
            <color indexed="81"/>
            <rFont val="Tahoma"/>
            <family val="2"/>
          </rPr>
          <t>Saturation is defined as the % of total floorspace for each combination of end-use and fuel-type.</t>
        </r>
        <r>
          <rPr>
            <sz val="9"/>
            <color indexed="81"/>
            <rFont val="Tahoma"/>
            <family val="2"/>
          </rPr>
          <t xml:space="preserve">
</t>
        </r>
      </text>
    </comment>
    <comment ref="J1" authorId="0" shapeId="0" xr:uid="{0D9B5684-485B-4EE2-9108-C6171E44951B}">
      <text>
        <r>
          <rPr>
            <b/>
            <sz val="9"/>
            <color indexed="81"/>
            <rFont val="Tahoma"/>
            <family val="2"/>
          </rPr>
          <t xml:space="preserve">
</t>
        </r>
        <r>
          <rPr>
            <b/>
            <sz val="12"/>
            <color indexed="81"/>
            <rFont val="Tahoma"/>
            <family val="2"/>
          </rPr>
          <t>Saturation is defined as the % of total floorspace for each combination of end-use and fuel-type.</t>
        </r>
        <r>
          <rPr>
            <sz val="9"/>
            <color indexed="81"/>
            <rFont val="Tahoma"/>
            <family val="2"/>
          </rPr>
          <t xml:space="preserve">
</t>
        </r>
      </text>
    </comment>
    <comment ref="K1" authorId="0" shapeId="0" xr:uid="{C7B1B974-EF41-44F1-90A7-64CD19815A46}">
      <text>
        <r>
          <rPr>
            <b/>
            <sz val="9"/>
            <color indexed="81"/>
            <rFont val="Tahoma"/>
            <family val="2"/>
          </rPr>
          <t xml:space="preserve">
</t>
        </r>
        <r>
          <rPr>
            <b/>
            <sz val="12"/>
            <color indexed="81"/>
            <rFont val="Tahoma"/>
            <family val="2"/>
          </rPr>
          <t>Saturation is defined as the % of total floorspace for each combination of end-use and fuel-type.</t>
        </r>
        <r>
          <rPr>
            <sz val="9"/>
            <color indexed="81"/>
            <rFont val="Tahoma"/>
            <family val="2"/>
          </rPr>
          <t xml:space="preserve">
</t>
        </r>
      </text>
    </comment>
    <comment ref="I23" authorId="0" shapeId="0" xr:uid="{F56CB81C-CA55-46CF-9AFA-F51C1B89413E}">
      <text>
        <r>
          <rPr>
            <b/>
            <sz val="9"/>
            <color indexed="81"/>
            <rFont val="Tahoma"/>
            <family val="2"/>
          </rPr>
          <t xml:space="preserve">
</t>
        </r>
        <r>
          <rPr>
            <b/>
            <sz val="12"/>
            <color indexed="81"/>
            <rFont val="Tahoma"/>
            <family val="2"/>
          </rPr>
          <t>Saturation is defined as the % of total floorspace for each combination of end-use and fuel-type.</t>
        </r>
        <r>
          <rPr>
            <sz val="9"/>
            <color indexed="81"/>
            <rFont val="Tahoma"/>
            <family val="2"/>
          </rPr>
          <t xml:space="preserve">
</t>
        </r>
      </text>
    </comment>
    <comment ref="J23" authorId="0" shapeId="0" xr:uid="{87014631-BAC6-4F31-ADF0-208CB7BBAFA0}">
      <text>
        <r>
          <rPr>
            <b/>
            <sz val="9"/>
            <color indexed="81"/>
            <rFont val="Tahoma"/>
            <family val="2"/>
          </rPr>
          <t xml:space="preserve">
</t>
        </r>
        <r>
          <rPr>
            <b/>
            <sz val="12"/>
            <color indexed="81"/>
            <rFont val="Tahoma"/>
            <family val="2"/>
          </rPr>
          <t>Saturation is defined as the % of total floorspace for each combination of end-use and fuel-type.</t>
        </r>
        <r>
          <rPr>
            <sz val="9"/>
            <color indexed="81"/>
            <rFont val="Tahoma"/>
            <family val="2"/>
          </rPr>
          <t xml:space="preserve">
</t>
        </r>
      </text>
    </comment>
    <comment ref="K23" authorId="0" shapeId="0" xr:uid="{E9BAC966-C0D9-496F-8B5A-04552E0D8B3F}">
      <text>
        <r>
          <rPr>
            <b/>
            <sz val="9"/>
            <color indexed="81"/>
            <rFont val="Tahoma"/>
            <family val="2"/>
          </rPr>
          <t xml:space="preserve">
</t>
        </r>
        <r>
          <rPr>
            <b/>
            <sz val="12"/>
            <color indexed="81"/>
            <rFont val="Tahoma"/>
            <family val="2"/>
          </rPr>
          <t>Saturation is defined as the % of total floorspace for each combination of end-use and fuel-type.</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Mohsen Abrishami</author>
  </authors>
  <commentList>
    <comment ref="H1" authorId="0" shapeId="0" xr:uid="{FA783B0B-10A5-4027-AFB0-23A530D51CBC}">
      <text>
        <r>
          <rPr>
            <b/>
            <sz val="9"/>
            <color indexed="81"/>
            <rFont val="Tahoma"/>
            <family val="2"/>
          </rPr>
          <t xml:space="preserve">
</t>
        </r>
        <r>
          <rPr>
            <b/>
            <sz val="12"/>
            <color indexed="81"/>
            <rFont val="Tahoma"/>
            <family val="2"/>
          </rPr>
          <t>Saturation is defined as the % of total floorspace for each combination of end-use and fuel-type.</t>
        </r>
        <r>
          <rPr>
            <sz val="9"/>
            <color indexed="81"/>
            <rFont val="Tahoma"/>
            <family val="2"/>
          </rPr>
          <t xml:space="preserve">
</t>
        </r>
      </text>
    </comment>
    <comment ref="I1" authorId="0" shapeId="0" xr:uid="{D5D5C8DB-48F6-49CF-A6B8-E9826029AF79}">
      <text>
        <r>
          <rPr>
            <b/>
            <sz val="9"/>
            <color indexed="81"/>
            <rFont val="Tahoma"/>
            <family val="2"/>
          </rPr>
          <t xml:space="preserve">
</t>
        </r>
        <r>
          <rPr>
            <b/>
            <sz val="12"/>
            <color indexed="81"/>
            <rFont val="Tahoma"/>
            <family val="2"/>
          </rPr>
          <t>Saturation is defined as the % of total floorspace for each combination of end-use and fuel-type.</t>
        </r>
        <r>
          <rPr>
            <sz val="9"/>
            <color indexed="81"/>
            <rFont val="Tahoma"/>
            <family val="2"/>
          </rPr>
          <t xml:space="preserve">
</t>
        </r>
      </text>
    </comment>
    <comment ref="J1" authorId="0" shapeId="0" xr:uid="{4B8F7965-EEA6-480C-9E2D-6B39BF8A22EE}">
      <text>
        <r>
          <rPr>
            <b/>
            <sz val="9"/>
            <color indexed="81"/>
            <rFont val="Tahoma"/>
            <family val="2"/>
          </rPr>
          <t xml:space="preserve">
</t>
        </r>
        <r>
          <rPr>
            <b/>
            <sz val="12"/>
            <color indexed="81"/>
            <rFont val="Tahoma"/>
            <family val="2"/>
          </rPr>
          <t>Saturation is defined as the % of total floorspace for each combination of end-use and fuel-type.</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Mohsen Abrishami</author>
  </authors>
  <commentList>
    <comment ref="H1" authorId="0" shapeId="0" xr:uid="{E9106227-061D-483F-AD69-B08D6DFCAA24}">
      <text>
        <r>
          <rPr>
            <b/>
            <sz val="9"/>
            <color indexed="81"/>
            <rFont val="Tahoma"/>
            <family val="2"/>
          </rPr>
          <t xml:space="preserve">
</t>
        </r>
        <r>
          <rPr>
            <b/>
            <sz val="12"/>
            <color indexed="81"/>
            <rFont val="Tahoma"/>
            <family val="2"/>
          </rPr>
          <t>Saturation is defined as the % of total floorspace for each combination of end-use and fuel-type.</t>
        </r>
        <r>
          <rPr>
            <sz val="9"/>
            <color indexed="81"/>
            <rFont val="Tahoma"/>
            <family val="2"/>
          </rPr>
          <t xml:space="preserve">
</t>
        </r>
      </text>
    </comment>
    <comment ref="I1" authorId="0" shapeId="0" xr:uid="{84001EE7-91E3-4C5B-ACE1-772A6970FD9C}">
      <text>
        <r>
          <rPr>
            <b/>
            <sz val="9"/>
            <color indexed="81"/>
            <rFont val="Tahoma"/>
            <family val="2"/>
          </rPr>
          <t xml:space="preserve">
</t>
        </r>
        <r>
          <rPr>
            <b/>
            <sz val="12"/>
            <color indexed="81"/>
            <rFont val="Tahoma"/>
            <family val="2"/>
          </rPr>
          <t>Saturation is defined as the % of total floorspace for each combination of end-use and fuel-type.</t>
        </r>
        <r>
          <rPr>
            <sz val="9"/>
            <color indexed="81"/>
            <rFont val="Tahoma"/>
            <family val="2"/>
          </rPr>
          <t xml:space="preserve">
</t>
        </r>
      </text>
    </comment>
    <comment ref="J1" authorId="0" shapeId="0" xr:uid="{0AE325DB-0DFC-4B10-ADB5-8F0744DE8295}">
      <text>
        <r>
          <rPr>
            <b/>
            <sz val="9"/>
            <color indexed="81"/>
            <rFont val="Tahoma"/>
            <family val="2"/>
          </rPr>
          <t xml:space="preserve">
</t>
        </r>
        <r>
          <rPr>
            <b/>
            <sz val="12"/>
            <color indexed="81"/>
            <rFont val="Tahoma"/>
            <family val="2"/>
          </rPr>
          <t>Saturation is defined as the % of total floorspace for each combination of end-use and fuel-type.</t>
        </r>
        <r>
          <rPr>
            <sz val="9"/>
            <color indexed="81"/>
            <rFont val="Tahoma"/>
            <family val="2"/>
          </rPr>
          <t xml:space="preserve">
</t>
        </r>
      </text>
    </comment>
    <comment ref="H22" authorId="0" shapeId="0" xr:uid="{1DED95E8-CE88-4046-B7E5-BE94066EDBB2}">
      <text>
        <r>
          <rPr>
            <b/>
            <sz val="9"/>
            <color indexed="81"/>
            <rFont val="Tahoma"/>
            <family val="2"/>
          </rPr>
          <t xml:space="preserve">
</t>
        </r>
        <r>
          <rPr>
            <b/>
            <sz val="12"/>
            <color indexed="81"/>
            <rFont val="Tahoma"/>
            <family val="2"/>
          </rPr>
          <t>Saturation is defined as the % of total floorspace for each combination of end-use and fuel-type.</t>
        </r>
        <r>
          <rPr>
            <sz val="9"/>
            <color indexed="81"/>
            <rFont val="Tahoma"/>
            <family val="2"/>
          </rPr>
          <t xml:space="preserve">
</t>
        </r>
      </text>
    </comment>
    <comment ref="I22" authorId="0" shapeId="0" xr:uid="{31FF255E-9AFD-434A-8524-448B309AE22E}">
      <text>
        <r>
          <rPr>
            <b/>
            <sz val="9"/>
            <color indexed="81"/>
            <rFont val="Tahoma"/>
            <family val="2"/>
          </rPr>
          <t xml:space="preserve">
</t>
        </r>
        <r>
          <rPr>
            <b/>
            <sz val="12"/>
            <color indexed="81"/>
            <rFont val="Tahoma"/>
            <family val="2"/>
          </rPr>
          <t>Saturation is defined as the % of total floorspace for each combination of end-use and fuel-type.</t>
        </r>
        <r>
          <rPr>
            <sz val="9"/>
            <color indexed="81"/>
            <rFont val="Tahoma"/>
            <family val="2"/>
          </rPr>
          <t xml:space="preserve">
</t>
        </r>
      </text>
    </comment>
    <comment ref="J22" authorId="0" shapeId="0" xr:uid="{3CE407E4-A30C-48A4-B1E3-54556FCD2E86}">
      <text>
        <r>
          <rPr>
            <b/>
            <sz val="9"/>
            <color indexed="81"/>
            <rFont val="Tahoma"/>
            <family val="2"/>
          </rPr>
          <t xml:space="preserve">
</t>
        </r>
        <r>
          <rPr>
            <b/>
            <sz val="12"/>
            <color indexed="81"/>
            <rFont val="Tahoma"/>
            <family val="2"/>
          </rPr>
          <t>Saturation is defined as the % of total floorspace for each combination of end-use and fuel-type.</t>
        </r>
        <r>
          <rPr>
            <sz val="9"/>
            <color indexed="81"/>
            <rFont val="Tahoma"/>
            <family val="2"/>
          </rPr>
          <t xml:space="preserve">
</t>
        </r>
      </text>
    </comment>
    <comment ref="H41" authorId="0" shapeId="0" xr:uid="{531E45B5-515F-4282-AC2B-41DA283ABC9A}">
      <text>
        <r>
          <rPr>
            <b/>
            <sz val="9"/>
            <color indexed="81"/>
            <rFont val="Tahoma"/>
            <family val="2"/>
          </rPr>
          <t xml:space="preserve">
</t>
        </r>
        <r>
          <rPr>
            <b/>
            <sz val="12"/>
            <color indexed="81"/>
            <rFont val="Tahoma"/>
            <family val="2"/>
          </rPr>
          <t>Saturation is defined as the % of total floorspace for each combination of end-use and fuel-type.</t>
        </r>
        <r>
          <rPr>
            <sz val="9"/>
            <color indexed="81"/>
            <rFont val="Tahoma"/>
            <family val="2"/>
          </rPr>
          <t xml:space="preserve">
</t>
        </r>
      </text>
    </comment>
    <comment ref="I41" authorId="0" shapeId="0" xr:uid="{D3220F02-858B-4470-A32C-FB7ED062A0C7}">
      <text>
        <r>
          <rPr>
            <b/>
            <sz val="9"/>
            <color indexed="81"/>
            <rFont val="Tahoma"/>
            <family val="2"/>
          </rPr>
          <t xml:space="preserve">
</t>
        </r>
        <r>
          <rPr>
            <b/>
            <sz val="12"/>
            <color indexed="81"/>
            <rFont val="Tahoma"/>
            <family val="2"/>
          </rPr>
          <t>Saturation is defined as the % of total floorspace for each combination of end-use and fuel-type.</t>
        </r>
        <r>
          <rPr>
            <sz val="9"/>
            <color indexed="81"/>
            <rFont val="Tahoma"/>
            <family val="2"/>
          </rPr>
          <t xml:space="preserve">
</t>
        </r>
      </text>
    </comment>
    <comment ref="J41" authorId="0" shapeId="0" xr:uid="{0F0DA788-0387-4CDE-A55C-0D9D38E09C83}">
      <text>
        <r>
          <rPr>
            <b/>
            <sz val="9"/>
            <color indexed="81"/>
            <rFont val="Tahoma"/>
            <family val="2"/>
          </rPr>
          <t xml:space="preserve">
</t>
        </r>
        <r>
          <rPr>
            <b/>
            <sz val="12"/>
            <color indexed="81"/>
            <rFont val="Tahoma"/>
            <family val="2"/>
          </rPr>
          <t>Saturation is defined as the % of total floorspace for each combination of end-use and fuel-type.</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tc={2806C863-5BB8-3040-96D9-A2AE6EF4CFE0}</author>
  </authors>
  <commentList>
    <comment ref="A7" authorId="0" shapeId="0" xr:uid="{2806C863-5BB8-3040-96D9-A2AE6EF4CFE0}">
      <text>
        <t xml:space="preserve">[Threaded comment]
Your version of Excel allows you to read this threaded comment; however, any edits to it will get removed if the file is opened in a newer version of Excel. Learn more: https://go.microsoft.com/fwlink/?linkid=870924
Comment:
    Note that evaporative cooling (sensible bTuh) is equal to latent load for all hours.  Model needs to account for both the latent load added by plant transpiration and the sensible cooling from evapotranspiration at the same rate. </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tc={2A98BAE9-57DB-46B2-AE74-B3577E5F0724}</author>
  </authors>
  <commentList>
    <comment ref="G4" authorId="0" shapeId="0" xr:uid="{2A98BAE9-57DB-46B2-AE74-B3577E5F0724}">
      <text>
        <t>[Threaded comment]
Your version of Excel allows you to read this threaded comment; however, any edits to it will get removed if the file is opened in a newer version of Excel. Learn more: https://go.microsoft.com/fwlink/?linkid=870924
Comment:
    What is the difference between this table and the table range a2:d21?
Reply:
    I was following the template. There’s not a difference in the case of this prototype. It’s a transposed duplicate</t>
      </text>
    </comment>
  </commentList>
</comments>
</file>

<file path=xl/sharedStrings.xml><?xml version="1.0" encoding="utf-8"?>
<sst xmlns="http://schemas.openxmlformats.org/spreadsheetml/2006/main" count="2547" uniqueCount="795">
  <si>
    <t xml:space="preserve">THIS DRAFT DOCUMENT WAS DEVELOPED BY THE STATEWIDE UTILITY CODES AND STANDARDS ENHANCEMENT (CASE) TEAM </t>
  </si>
  <si>
    <t>The California Statewide Codes and Standards Enhancement (CASE) Program is funded in part by California utility customers under the auspices of the California Public Utilities Commission. Copyright 2025 Pacific Gas and Electric Company, Southern California Edison, San Diego Gas &amp; Electric Company. All rights reserved, except that this document may be used, copied, and distributed without modification. Neither Pacific Gas and Electric Company, Southern California Edison, San Diego Gas &amp; Electric Company, or any of its employees make any warranty, express or implied; or assume any legal liability or responsibility for the accuracy, completeness or usefulness of any data, information, method, product, policy or process disclosed in this document; or represent that its use will not infringe any privately-owned rights including, but not limited to, patents, trademarks or copyrights.</t>
  </si>
  <si>
    <t>This Draft Document was developed by the Statewide Utility Codes and Standards Enhancement Team. Please see the Read Me Tab for more information.</t>
  </si>
  <si>
    <t>Controlled Environment Horticulture</t>
  </si>
  <si>
    <t>Characteristic</t>
  </si>
  <si>
    <t>Value</t>
  </si>
  <si>
    <t>Data Sources</t>
  </si>
  <si>
    <t>Building Type</t>
  </si>
  <si>
    <t>Indoor Controlled Environmental Horticulture - Cannabis</t>
  </si>
  <si>
    <t>Over 90% of Indoor CEH was estimated to be cannabis in the T24 2025 cycle</t>
  </si>
  <si>
    <t>Building Category</t>
  </si>
  <si>
    <t>Nonresidential</t>
  </si>
  <si>
    <t>Vintages</t>
  </si>
  <si>
    <t>2 Vintages: Pre-2022
New Construction (2025+)</t>
  </si>
  <si>
    <t>Based on year CEH became part of T24 
NonRes-Vintage bins-Draft Report-30Nov2023-Final.docx</t>
  </si>
  <si>
    <t>Shape</t>
  </si>
  <si>
    <t>Rectangle</t>
  </si>
  <si>
    <t xml:space="preserve">Previous CEH Floor plans. Previous T24 CASE work. </t>
  </si>
  <si>
    <t>Total Floor Area (ft²)</t>
  </si>
  <si>
    <t>25,620 (244 ft x 105 ft)</t>
  </si>
  <si>
    <t>Based Department of Cannabis License data by size.</t>
  </si>
  <si>
    <t>Aspect Ratio</t>
  </si>
  <si>
    <t>Number of Floors</t>
  </si>
  <si>
    <t xml:space="preserve">Based on 2050 CEH Prototype and Existing Warehouse Prototype. 2050 CEH Prototype assumption was based on CEH SME input.
</t>
  </si>
  <si>
    <t>Roof type</t>
  </si>
  <si>
    <t>Flat</t>
  </si>
  <si>
    <t xml:space="preserve">Based on 2050 CEH Prototype and Existing Warehouse Prototype.  2050 CEH Prototype assumption was based on CEH SME input.
</t>
  </si>
  <si>
    <t>Window-to-Wall Ratio (WWR)</t>
  </si>
  <si>
    <t xml:space="preserve">When included, assuming high security feature in addition to T24 compliant windows, still researching this topic. </t>
  </si>
  <si>
    <t>Shading Geometry</t>
  </si>
  <si>
    <t>No Shades</t>
  </si>
  <si>
    <t xml:space="preserve">Based on typical indoor horticulture buildings </t>
  </si>
  <si>
    <t>Floor to floor height (ft)</t>
  </si>
  <si>
    <t>Based on input from SME Kelly Energy Management, confirmed to be typical by other CEH SMEs.</t>
  </si>
  <si>
    <t>Floor to ceiling height (ft)</t>
  </si>
  <si>
    <t>Glazing sill height (ft)</t>
  </si>
  <si>
    <t>n/a</t>
  </si>
  <si>
    <t>Assuming high security feature in addition to T24 compliant windows, still researching this topic. For the time being assuming there 0 windows in this building for security reasons. Practically speaking the office areas would likely have a WWR similar to the small or medium office prototype and the corresponding sill height only in that office area not in the  other parts of the building of the CEH prototype.</t>
  </si>
  <si>
    <t>Space Type</t>
  </si>
  <si>
    <t>Space/Thermal Zone</t>
  </si>
  <si>
    <t>Conditioned (Y/N)</t>
  </si>
  <si>
    <t>HVAC zone</t>
  </si>
  <si>
    <t>Area Fraction</t>
  </si>
  <si>
    <t>Area (ft²)</t>
  </si>
  <si>
    <t>Length (ft)</t>
  </si>
  <si>
    <t>Width (ft)</t>
  </si>
  <si>
    <t>Volume (ft³)</t>
  </si>
  <si>
    <t>Multipliers</t>
  </si>
  <si>
    <t>Number of People</t>
  </si>
  <si>
    <t xml:space="preserve">People 
(Persons/1,000 ft²) 
[T24, 2025,  Table 120.1-A] </t>
  </si>
  <si>
    <t>Canopy area</t>
  </si>
  <si>
    <t>Notes</t>
  </si>
  <si>
    <t>Horticulture_Vegetative</t>
  </si>
  <si>
    <t>Y</t>
  </si>
  <si>
    <t>-</t>
  </si>
  <si>
    <t>The veg/clone room has two tiers for growing, thus double the canopy are per room square foot.</t>
  </si>
  <si>
    <t>Horticulture_Flowering</t>
  </si>
  <si>
    <t>Horticulture_Flowering
3 zones</t>
  </si>
  <si>
    <t>Horticulture_Flowering
3 HVAC zones</t>
  </si>
  <si>
    <t>The flowering space type needs to be split into 3 flowering rooms, with shifted schedules (a 9-week grow cycle starting every 3 weeks), each a separate HVAC zone.</t>
  </si>
  <si>
    <t>Processing Area</t>
  </si>
  <si>
    <t>Processing</t>
  </si>
  <si>
    <t>N/A</t>
  </si>
  <si>
    <t>The processing area includes trimming, which generates a lot of dust and pollen</t>
  </si>
  <si>
    <t>Horticulture_Drying</t>
  </si>
  <si>
    <t>Drying room</t>
  </si>
  <si>
    <t>Storage</t>
  </si>
  <si>
    <t>Storage and Shipping</t>
  </si>
  <si>
    <t>Office</t>
  </si>
  <si>
    <t>Office_Area</t>
  </si>
  <si>
    <t>Low density occupancy relative to office buildings.</t>
  </si>
  <si>
    <t>Restrooms</t>
  </si>
  <si>
    <t>Security office</t>
  </si>
  <si>
    <t>Total (10 Spaces, 8 space types)</t>
  </si>
  <si>
    <t>Total (10 Thermal Zones)</t>
  </si>
  <si>
    <t>Total (8 HVAC Zones)</t>
  </si>
  <si>
    <t>Estimated canopy area</t>
  </si>
  <si>
    <t>Based on department of cannabis data</t>
  </si>
  <si>
    <t>Building Area</t>
  </si>
  <si>
    <t>Background Data [To be deleted prior to publication]</t>
  </si>
  <si>
    <t>Element</t>
  </si>
  <si>
    <t>Prototype</t>
  </si>
  <si>
    <t xml:space="preserve"> Assembly Type</t>
  </si>
  <si>
    <t>Construction</t>
  </si>
  <si>
    <t>Thermal properties</t>
  </si>
  <si>
    <t>Vintage</t>
  </si>
  <si>
    <t>Selected T24</t>
  </si>
  <si>
    <t>Note</t>
  </si>
  <si>
    <t>CZ1</t>
  </si>
  <si>
    <t>CZ2</t>
  </si>
  <si>
    <t>CZ3</t>
  </si>
  <si>
    <t>CZ4</t>
  </si>
  <si>
    <t>CZ5</t>
  </si>
  <si>
    <t>CZ6</t>
  </si>
  <si>
    <t>CZ7</t>
  </si>
  <si>
    <t>CZ8</t>
  </si>
  <si>
    <t>CZ9</t>
  </si>
  <si>
    <t>CZ10</t>
  </si>
  <si>
    <t>CZ11</t>
  </si>
  <si>
    <t>CZ12</t>
  </si>
  <si>
    <t>CZ13</t>
  </si>
  <si>
    <t>CZ14</t>
  </si>
  <si>
    <t>CZ15</t>
  </si>
  <si>
    <t>CZ16</t>
  </si>
  <si>
    <t xml:space="preserve">External Wall </t>
  </si>
  <si>
    <t>CEH</t>
  </si>
  <si>
    <t>Metal Building</t>
  </si>
  <si>
    <t xml:space="preserve"> Metal surface + Continuous Insulation + Gypsum board</t>
  </si>
  <si>
    <t>U-factor IP</t>
  </si>
  <si>
    <t>Pre 2022</t>
  </si>
  <si>
    <t>ASHRAE 90.1, 2022 Table A3.4.3.1, 3.5", R-0</t>
  </si>
  <si>
    <t>2022+</t>
  </si>
  <si>
    <t>Table 140.3-B</t>
  </si>
  <si>
    <t>Roof</t>
  </si>
  <si>
    <t>Metal Roof</t>
  </si>
  <si>
    <t>Roof Membrane + Continuous Insulation + Metal Decking</t>
  </si>
  <si>
    <t>Table 1-H</t>
  </si>
  <si>
    <t>Windows</t>
  </si>
  <si>
    <t>Fixed Windows</t>
  </si>
  <si>
    <t xml:space="preserve">Single Pane (CBECS 2018, ~ 50 % of warehouseconversion  that were built before 2000 are single pane) </t>
  </si>
  <si>
    <t>Double Pane</t>
  </si>
  <si>
    <t>From Medium Office scorecard. Assumed windows only in office areas. This u-factor does not yet include security feature.</t>
  </si>
  <si>
    <t>SHGC</t>
  </si>
  <si>
    <t>Infiltration</t>
  </si>
  <si>
    <t xml:space="preserve">I_75 (cfm/ft2)
6-sdied Infiltration rate @ 75 pa </t>
  </si>
  <si>
    <t>Source</t>
  </si>
  <si>
    <t xml:space="preserve"> I-design (cfm/ft²) 
(4-sided Infiltration rate at normal pressure) 
(Design flow rate approach and Flow/Exterior Wall Area calculation method) </t>
  </si>
  <si>
    <t>2022 CASE report (Table 38) &amp;  
T24, 2025 (Table 140.3-B)</t>
  </si>
  <si>
    <t>Source:  T24 air barrier requirements (all editions) , the standardized infiltration rate reported in the 2022 CASE report, and Dodge 2023 data</t>
  </si>
  <si>
    <t>Infiltration_rate_report_14May2025-Short-Version.docx</t>
  </si>
  <si>
    <t>Assumptions</t>
  </si>
  <si>
    <t>I design6</t>
  </si>
  <si>
    <t>cfm @ 10mph</t>
  </si>
  <si>
    <t>I design 4</t>
  </si>
  <si>
    <t>Height - floor to ceiling</t>
  </si>
  <si>
    <t>Area</t>
  </si>
  <si>
    <t>Perimeter</t>
  </si>
  <si>
    <t>Building 4 sided floor area=</t>
  </si>
  <si>
    <t>Building 6 sided floor area=</t>
  </si>
  <si>
    <t>6 sided /4 sided factor=</t>
  </si>
  <si>
    <t xml:space="preserve">Heating </t>
  </si>
  <si>
    <t>Cooling</t>
  </si>
  <si>
    <t>Air Distribution</t>
  </si>
  <si>
    <t>Other Systems</t>
  </si>
  <si>
    <t>None</t>
  </si>
  <si>
    <t>DX (RTU)</t>
  </si>
  <si>
    <t>CAV</t>
  </si>
  <si>
    <t>Dehumidifier 2.41L/kWh</t>
  </si>
  <si>
    <t>Electric Resistance</t>
  </si>
  <si>
    <t xml:space="preserve">Furnace (Gas) </t>
  </si>
  <si>
    <t xml:space="preserve">Airside economizers (Integrated) </t>
  </si>
  <si>
    <t>T24, 2013
CZ12: 75 dry bulb; CZ dependent</t>
  </si>
  <si>
    <t>T24, 2013
CZ12: 75 dry bulb; CZ dependent</t>
  </si>
  <si>
    <t>Heat Pump</t>
  </si>
  <si>
    <t>Recovered Heat</t>
  </si>
  <si>
    <t xml:space="preserve">VAV 12.23 EER </t>
  </si>
  <si>
    <t>VAV</t>
  </si>
  <si>
    <t xml:space="preserve">Dry rooms typically use standalone dehumidifiers to remove moisture and then trim the temperature. </t>
  </si>
  <si>
    <t>T24, 2025</t>
  </si>
  <si>
    <r>
      <t>Efficiency of HVAC system</t>
    </r>
    <r>
      <rPr>
        <sz val="10"/>
        <color theme="0"/>
        <rFont val="Arial"/>
        <family val="2"/>
      </rPr>
      <t xml:space="preserve">
 (Efficiency is capacity-dependent. The following Table provides a general estimate of system efficiency based on what we saw in the existing prototype runs, or assuming cooling load based on rule of thumb)</t>
    </r>
  </si>
  <si>
    <t>Upgrade/Installed year</t>
  </si>
  <si>
    <t>Heating</t>
  </si>
  <si>
    <t xml:space="preserve">Note </t>
  </si>
  <si>
    <t>Thermal Efficiency of 80%</t>
  </si>
  <si>
    <t>varies</t>
  </si>
  <si>
    <t xml:space="preserve">Code Readiness report. </t>
  </si>
  <si>
    <t>All eletctric
Electric resistance is the most common supplemental heat source in California
For Flower room, see Flower Room HVAC Equipment tab</t>
  </si>
  <si>
    <t>For Flower room, see Flower Room HVAC Equipment tab</t>
  </si>
  <si>
    <t>Fan Power</t>
  </si>
  <si>
    <t>Approach</t>
  </si>
  <si>
    <t>System</t>
  </si>
  <si>
    <t xml:space="preserve">Total Static Pressure (TSP)
(in w.c.)
[PNNL 20405, 2010, Table 5.11]  </t>
  </si>
  <si>
    <t>Fan Efficiency
[ACM 2025]</t>
  </si>
  <si>
    <t>Fan Motor and Drive Efficiency 
[ACM 2025, Table 13]</t>
  </si>
  <si>
    <t>W/cfm
[ACM 2025, Table 14 and 15]</t>
  </si>
  <si>
    <t>Data Source or Other Notes</t>
  </si>
  <si>
    <t>Existing</t>
  </si>
  <si>
    <t>PNNL TSP</t>
  </si>
  <si>
    <t>CAV Office</t>
  </si>
  <si>
    <t>2.5  (system &lt;7,437 cfm)</t>
  </si>
  <si>
    <t>~0.9 (The full-load efficiency of the motor serving the fan- will be determined based on ACM 2025, Table 13)</t>
  </si>
  <si>
    <t>ACM 2025, PNNL 20405, 2010</t>
  </si>
  <si>
    <t>CAV Storage and Shipping</t>
  </si>
  <si>
    <t>CAV Security</t>
  </si>
  <si>
    <t>CAV Restrooms</t>
  </si>
  <si>
    <t>Brake horse power (bhp)=(Supply cfm*TSP in w.c.)/(6356*Fan efficiency)</t>
  </si>
  <si>
    <t>Fan power (w/cfm) = bhp/motor and drive efficiency *746</t>
  </si>
  <si>
    <t>New Construction</t>
  </si>
  <si>
    <t>ACM 2025</t>
  </si>
  <si>
    <t>Circulation Fans are defined on the equipment tab</t>
  </si>
  <si>
    <t xml:space="preserve">Small Office
Heating System </t>
  </si>
  <si>
    <t>Only Conversion factors</t>
  </si>
  <si>
    <t>Multiplied by  Floor area at FZ level</t>
  </si>
  <si>
    <t>No. of zones with</t>
  </si>
  <si>
    <t>Converting the FZ data to the CZ level by applying total small office floor area in each FZ</t>
  </si>
  <si>
    <t>Elec</t>
  </si>
  <si>
    <t>Gas</t>
  </si>
  <si>
    <t>Forecast Zone</t>
  </si>
  <si>
    <t>Building-type</t>
  </si>
  <si>
    <t>End Use</t>
  </si>
  <si>
    <t xml:space="preserve">End Use Saturation </t>
  </si>
  <si>
    <t>Electric Fuel Share</t>
  </si>
  <si>
    <t>Gas Fuel Share</t>
  </si>
  <si>
    <t>Other Fuel Share</t>
  </si>
  <si>
    <t>Saturation (Electric)</t>
  </si>
  <si>
    <t>Saturation (Gas)</t>
  </si>
  <si>
    <t>Saturation
(Other Fuels)</t>
  </si>
  <si>
    <t>Statewide</t>
  </si>
  <si>
    <t>Office, Small</t>
  </si>
  <si>
    <t>FZ0</t>
  </si>
  <si>
    <t>FCZ1</t>
  </si>
  <si>
    <t>FCZ2</t>
  </si>
  <si>
    <t>FCZ3</t>
  </si>
  <si>
    <t>FCZ4</t>
  </si>
  <si>
    <t>FCZ5</t>
  </si>
  <si>
    <t>FCZ6</t>
  </si>
  <si>
    <t>FCZ7</t>
  </si>
  <si>
    <t>FCZ8</t>
  </si>
  <si>
    <t>FCZ9</t>
  </si>
  <si>
    <t>FCZ10</t>
  </si>
  <si>
    <t>FCZ11</t>
  </si>
  <si>
    <t>FCZ12c</t>
  </si>
  <si>
    <t>FCZ12</t>
  </si>
  <si>
    <t>FCZ12i</t>
  </si>
  <si>
    <t>FCZ13</t>
  </si>
  <si>
    <t>FCZ14</t>
  </si>
  <si>
    <t>FCZ16</t>
  </si>
  <si>
    <t>FCZ15</t>
  </si>
  <si>
    <t>FCZ17</t>
  </si>
  <si>
    <t>FCZ18</t>
  </si>
  <si>
    <t>FCZ19</t>
  </si>
  <si>
    <t>FCZ20</t>
  </si>
  <si>
    <t>Sum</t>
  </si>
  <si>
    <t>Saturation (Elec) at CZ</t>
  </si>
  <si>
    <t>Pre-2022</t>
  </si>
  <si>
    <t>Design Day Sizing</t>
  </si>
  <si>
    <t>RTU Coil</t>
  </si>
  <si>
    <t>Design Supply Air Temperature [F]</t>
  </si>
  <si>
    <t>Design Supply Air Humidity Ratio [-]</t>
  </si>
  <si>
    <t>RTU System</t>
  </si>
  <si>
    <t>Type of Load to Size On</t>
  </si>
  <si>
    <t>Sensible</t>
  </si>
  <si>
    <t>Latent</t>
  </si>
  <si>
    <t>Cooling Supply Air Flow Rate per Unit Cooling Capacity [m3/s/W]</t>
  </si>
  <si>
    <t>Cooling Design Capacity [W]</t>
  </si>
  <si>
    <t>Cooling Design Capacity [tons]</t>
  </si>
  <si>
    <t>Central Cooling Capacity Control Method</t>
  </si>
  <si>
    <t>VT</t>
  </si>
  <si>
    <t>Annual Simulation</t>
  </si>
  <si>
    <t>Standalone Dehumidifier</t>
  </si>
  <si>
    <t>Rated Water Removal [L/day]</t>
  </si>
  <si>
    <t>Rated Energy Factor [L/kWh]</t>
  </si>
  <si>
    <t>Rated Air Flow Rate [m3/s]</t>
  </si>
  <si>
    <t>Water Removal Curve</t>
  </si>
  <si>
    <t>See right</t>
  </si>
  <si>
    <t>Energy Factor Curve</t>
  </si>
  <si>
    <t>Part Load Fraction Correlation Curve</t>
  </si>
  <si>
    <t>Min Zone Dry-bulb Temperature for Operation [F]</t>
  </si>
  <si>
    <t>Thermostat controls to 70-82 F</t>
  </si>
  <si>
    <t>Max Zone Dry-bulb Temperature for Operation [F]</t>
  </si>
  <si>
    <t>Off-Cycle Parasitic Electric Load [W]</t>
  </si>
  <si>
    <t>RTU Cooling Coil</t>
  </si>
  <si>
    <t>Compressor Speeds</t>
  </si>
  <si>
    <t>Low Speed COP</t>
  </si>
  <si>
    <t>Dehumidification mode: low fan &amp; high compressor</t>
  </si>
  <si>
    <t>Low Speed SHR</t>
  </si>
  <si>
    <t>Low Speed Capacity [tons]</t>
  </si>
  <si>
    <t>High Speed COP</t>
  </si>
  <si>
    <t>Sensible mode: high fan &amp; high compressor</t>
  </si>
  <si>
    <t>High Speed SHR</t>
  </si>
  <si>
    <t>High Speed Capacity [tons]</t>
  </si>
  <si>
    <t>See more details for AIO speeds on AIO Coil Speeds tab</t>
  </si>
  <si>
    <t>RTU Heating Coil</t>
  </si>
  <si>
    <t>Coil Type</t>
  </si>
  <si>
    <t>Electric</t>
  </si>
  <si>
    <t>Hot Gas Reheat</t>
  </si>
  <si>
    <t>Efficiency</t>
  </si>
  <si>
    <t>Max possible heat reclaim effectiveness for AIO when cooling coil operates</t>
  </si>
  <si>
    <t>All-In-One RTU DX Coil Parameters for each Compressor Speed</t>
  </si>
  <si>
    <t>Compressor Speed</t>
  </si>
  <si>
    <t>Reference Unit Gross Rated Total Cooling Capacity [W]</t>
  </si>
  <si>
    <t>Reference Unit Gross Rated Total Cooling Capacity [tons]</t>
  </si>
  <si>
    <t>Reference Unit Gross Rated Sensible Heat Ratio [-]</t>
  </si>
  <si>
    <t>Reference Unit Gross Rated Cooling COP [-]</t>
  </si>
  <si>
    <t>Reference Unit Rated Air Flow Rate [m3/s]</t>
  </si>
  <si>
    <t>Reference Unit Rated Air Flow Rate [cfm]</t>
  </si>
  <si>
    <t>Setpoint</t>
  </si>
  <si>
    <t>Source and Notes</t>
  </si>
  <si>
    <t xml:space="preserve"> Heating Setpoint (F)</t>
  </si>
  <si>
    <t>T24 2022 - Appendix 5.4B</t>
  </si>
  <si>
    <t xml:space="preserve"> Heating Setback (F)</t>
  </si>
  <si>
    <t xml:space="preserve"> Cooling Setpoint (F)</t>
  </si>
  <si>
    <t xml:space="preserve"> Cooling Setback (F)</t>
  </si>
  <si>
    <t>Security</t>
  </si>
  <si>
    <t>Storage is typically cool and dry to preserve product.</t>
  </si>
  <si>
    <t>T24 2022 - Appendix 5.4B. RH is kept below 50% to avoid rehydrating product during trimming and packaging.</t>
  </si>
  <si>
    <t>Drying room is not typically occupied, kept at 60F and 60%RH to dry plants.</t>
  </si>
  <si>
    <t>Horticulture_Cloning</t>
  </si>
  <si>
    <t xml:space="preserve"> ASABE/ASHRAE P653/ 2050 Model Assume no heating</t>
  </si>
  <si>
    <t>2050 Partners Prototype Assume no heating</t>
  </si>
  <si>
    <t>See Latent Load and Setpoint tab.</t>
  </si>
  <si>
    <t>Variable</t>
  </si>
  <si>
    <t>WH Type</t>
  </si>
  <si>
    <t>UEF</t>
  </si>
  <si>
    <t>Tank Volume (gal)</t>
  </si>
  <si>
    <t>Tank Loss</t>
  </si>
  <si>
    <t xml:space="preserve">Existing  </t>
  </si>
  <si>
    <t>TBD</t>
  </si>
  <si>
    <t>End Use Saturation</t>
  </si>
  <si>
    <t>Commercial-Grade Cooking Equipment</t>
  </si>
  <si>
    <t>Planning Area
&amp;
Forecast Zone</t>
  </si>
  <si>
    <t>End Use Saturation or Penetration</t>
  </si>
  <si>
    <t>Commercial Cooking Space</t>
  </si>
  <si>
    <t>Air Compressors</t>
  </si>
  <si>
    <t>NA</t>
  </si>
  <si>
    <t>Commercial-Grade Refrigerators</t>
  </si>
  <si>
    <t>Commercial-Grade Freezers</t>
  </si>
  <si>
    <t>Frozen Floor Space</t>
  </si>
  <si>
    <t>Occupancy Category</t>
  </si>
  <si>
    <t>Table 120.1-A Air Class</t>
  </si>
  <si>
    <t>Table 120.1-A Notes</t>
  </si>
  <si>
    <t>Floor Area (ft²)</t>
  </si>
  <si>
    <t>cfm/person</t>
  </si>
  <si>
    <t>Code Persons</t>
  </si>
  <si>
    <t>Code Vent for Persons</t>
  </si>
  <si>
    <t>General Area Required cfm/ft² </t>
  </si>
  <si>
    <t>Required Exhaust Rate cfm/unit</t>
  </si>
  <si>
    <t>Required Exhaust Rate cfm/ft2</t>
  </si>
  <si>
    <t>Total cfm</t>
  </si>
  <si>
    <t>Total Ventilation</t>
  </si>
  <si>
    <t>Total Exhaust CFM</t>
  </si>
  <si>
    <t>[T24, 2025, Table 120.1-A]</t>
  </si>
  <si>
    <t>[T24, 2025, Equation 120.1-F and Table 120.1-A]</t>
  </si>
  <si>
    <t>[T24, 2025, Table 120.1-B – minimum exhaust rates] / unit</t>
  </si>
  <si>
    <t>Units</t>
  </si>
  <si>
    <t>[T24, 2025, Table 120.1-B – minimum exhaust rates]</t>
  </si>
  <si>
    <t>Driven by People</t>
  </si>
  <si>
    <t>Driven by Area</t>
  </si>
  <si>
    <t>Indoor CEH</t>
  </si>
  <si>
    <t>3/2</t>
  </si>
  <si>
    <t>--</t>
  </si>
  <si>
    <t>Dry Flower Trimming and/or Packaging</t>
  </si>
  <si>
    <t>In lieu of ventilation, the room may be permanently fit with filtration and dust collection systems capable of at least 12 air changes per hour with minimum MERV 15 filters.</t>
  </si>
  <si>
    <t>Warehouse</t>
  </si>
  <si>
    <t>B</t>
  </si>
  <si>
    <t>F</t>
  </si>
  <si>
    <t>All Others</t>
  </si>
  <si>
    <t>Transfer Air allowed</t>
  </si>
  <si>
    <t>Office / All Others</t>
  </si>
  <si>
    <t>HVAC  Operating Hour</t>
  </si>
  <si>
    <t>Period</t>
  </si>
  <si>
    <t>Hour</t>
  </si>
  <si>
    <t>Weekdays Multiplier</t>
  </si>
  <si>
    <t>Saturday</t>
  </si>
  <si>
    <t>Sunday</t>
  </si>
  <si>
    <t>12:00 am - 6:00 am</t>
  </si>
  <si>
    <t>6:00 am -7:00 am</t>
  </si>
  <si>
    <t>20% capcaity</t>
  </si>
  <si>
    <t>7:00 am - 8:00 am</t>
  </si>
  <si>
    <t>70% Capacity</t>
  </si>
  <si>
    <t xml:space="preserve">8:00 am - 17:00 pm </t>
  </si>
  <si>
    <t>Full capacity</t>
  </si>
  <si>
    <t>17:00 pm - 18:00 pm</t>
  </si>
  <si>
    <t>18:00 pm - 19:00 pm</t>
  </si>
  <si>
    <t>50% capacity</t>
  </si>
  <si>
    <t>19:00 pm - 20:00 pm</t>
  </si>
  <si>
    <t>20:00 pm - 22:00 pm</t>
  </si>
  <si>
    <t>22:00 pm - 12:00 am</t>
  </si>
  <si>
    <t>CEUS 2022 data</t>
  </si>
  <si>
    <t>Total Weighted Average Annual Operating Hours</t>
  </si>
  <si>
    <t>Working day</t>
  </si>
  <si>
    <t xml:space="preserve"> Weighted Average Operating Hours Per Day </t>
  </si>
  <si>
    <t>Weighted average operating hours  per working day (assuming zeo load for weekends)</t>
  </si>
  <si>
    <t>Operating Hours Per Day (in 4-hrs bin) By Planning Area &amp; Forecast Zone</t>
  </si>
  <si>
    <t>Calculation Method</t>
  </si>
  <si>
    <t>Statewide/  Utility/ FCZ</t>
  </si>
  <si>
    <t>0&lt; X &lt;=4</t>
  </si>
  <si>
    <t>4&lt; X &lt;=8</t>
  </si>
  <si>
    <t>8&lt; X &lt;=12</t>
  </si>
  <si>
    <t>12&lt; X &lt;=16</t>
  </si>
  <si>
    <t>16&lt; X &lt;=20</t>
  </si>
  <si>
    <t>20&lt;= X &lt;24</t>
  </si>
  <si>
    <t>24 Hrs/Day</t>
  </si>
  <si>
    <t>Not Available</t>
  </si>
  <si>
    <t>Total</t>
  </si>
  <si>
    <r>
      <rPr>
        <b/>
        <sz val="14"/>
        <color rgb="FF0070C0"/>
        <rFont val="Calibri"/>
        <family val="2"/>
        <scheme val="minor"/>
      </rPr>
      <t xml:space="preserve">←  </t>
    </r>
    <r>
      <rPr>
        <b/>
        <sz val="11"/>
        <color rgb="FF0070C0"/>
        <rFont val="Calibri"/>
        <family val="2"/>
        <scheme val="minor"/>
      </rPr>
      <t xml:space="preserve"> Operating Hours Per Day</t>
    </r>
  </si>
  <si>
    <t>Floorspace-Based</t>
  </si>
  <si>
    <t>Annual Operating Hours By Planning Area &amp; Forecast Zone</t>
  </si>
  <si>
    <t>&lt;=500 Hrs</t>
  </si>
  <si>
    <t>500 &lt; Hrs &lt;=1000</t>
  </si>
  <si>
    <t>1000 &lt; Hrs &lt;=1500</t>
  </si>
  <si>
    <t>1500 &lt; Hrs &lt;=2000</t>
  </si>
  <si>
    <t>2000 &lt; Hrs &lt;=2500</t>
  </si>
  <si>
    <t>2500 &lt; Hrs &lt;=3000</t>
  </si>
  <si>
    <t>3000 &lt; Hrs &lt;=3500</t>
  </si>
  <si>
    <t>3500 &lt; Hrs &lt;=4000</t>
  </si>
  <si>
    <t>4000 &lt; Hrs &lt;=4500</t>
  </si>
  <si>
    <t>4500 &lt; Hrs &lt;=5000</t>
  </si>
  <si>
    <t>5000 &lt; Hrs &lt;=5500</t>
  </si>
  <si>
    <t>5500 &lt; Hrs &lt;=6000</t>
  </si>
  <si>
    <t>6500 &lt; Hrs &lt;=7000</t>
  </si>
  <si>
    <t>7000 &lt; Hrs &lt;=7000</t>
  </si>
  <si>
    <t>7500 &lt; Hrs &lt;=8000</t>
  </si>
  <si>
    <t>8000&lt; Hrs &lt;=8500</t>
  </si>
  <si>
    <t>8001 &lt; Hrs &lt;=8500</t>
  </si>
  <si>
    <t xml:space="preserve"> 8500 &lt; Hrs &lt;8760</t>
  </si>
  <si>
    <t>8760 Hours</t>
  </si>
  <si>
    <t xml:space="preserve">←   Annual Operating Hours </t>
  </si>
  <si>
    <t>Occupnacy Schedules (existing prototypes extracted from the idf files (presented below)</t>
  </si>
  <si>
    <t>PNNL</t>
  </si>
  <si>
    <t>DEER</t>
  </si>
  <si>
    <t>CEC</t>
  </si>
  <si>
    <t>m2/person</t>
  </si>
  <si>
    <t>Person/m2: 0.0538195521</t>
  </si>
  <si>
    <t>Person/m2 :0.0538195521</t>
  </si>
  <si>
    <t>PNNL (Core+ 3 Perimeter)</t>
  </si>
  <si>
    <t>PNNL( 1 Perimeter)</t>
  </si>
  <si>
    <t>DEER Normal day</t>
  </si>
  <si>
    <t>DEER Saturday</t>
  </si>
  <si>
    <t>DEER (Other day)</t>
  </si>
  <si>
    <t>CEC Weekday</t>
  </si>
  <si>
    <t>CEC Saturday</t>
  </si>
  <si>
    <t>CEC Sunday</t>
  </si>
  <si>
    <t xml:space="preserve">10 h entirely occupied </t>
  </si>
  <si>
    <t xml:space="preserve">9 h entirely occupied </t>
  </si>
  <si>
    <t>DEER 2024 (Old model rebuilt in E+)</t>
  </si>
  <si>
    <t>DEERSmall Office idf: 07-2024</t>
  </si>
  <si>
    <t xml:space="preserve"> Schedule:Compact,</t>
  </si>
  <si>
    <t xml:space="preserve">    Hall EL1 Core Spc (G.C5) Occupant Sch,  !- Name</t>
  </si>
  <si>
    <t xml:space="preserve">    OfficeSmall EL1 North Perim Spc (G.N3) Occupant Sch,  !- Name</t>
  </si>
  <si>
    <t xml:space="preserve">    OfficeSmall EL1 East Perim Spc (G.E2) Occupant Sch,  !- Name</t>
  </si>
  <si>
    <t xml:space="preserve">    OfficeSmall EL1 South Perim Spc (G.S1) Occupant Sch,  !- Name</t>
  </si>
  <si>
    <t xml:space="preserve">    OfficeSmall EL1 West Perim Spc (G.W4) Occupant Sch,  !- Name</t>
  </si>
  <si>
    <t xml:space="preserve">    Hall EL1 Core Spc (T.C15) Occupant Sch,  !- Name</t>
  </si>
  <si>
    <t xml:space="preserve">    OfficeSmall EL1 East Perim Spc (T.E12) Occupant Sch,  !- Name</t>
  </si>
  <si>
    <t xml:space="preserve">    OfficeSmall EL1 North Perim Spc (T.N13) Occupant Sch,  !- Name</t>
  </si>
  <si>
    <t xml:space="preserve">    OfficeSmall EL1 South Perim Spc (T.S11) Occupant Sch,  !- Name</t>
  </si>
  <si>
    <t xml:space="preserve">    OfficeSmall EL1 West Perim Spc (T.W14) Occupant Sch,  !- Name</t>
  </si>
  <si>
    <t xml:space="preserve">    Unit Interval,           !- Schedule Type Limits Name</t>
  </si>
  <si>
    <t xml:space="preserve">    Through: 12/31,          !- Field 1</t>
  </si>
  <si>
    <t xml:space="preserve">    For: SummerDesignDay,    !- Field 2</t>
  </si>
  <si>
    <t xml:space="preserve">    Until: 24:00,1.0,        !- Field 3</t>
  </si>
  <si>
    <t xml:space="preserve">    For: WinterDesignDay,    !- Field 5</t>
  </si>
  <si>
    <t xml:space="preserve">    Until: 24:00,0.0,        !- Field 6</t>
  </si>
  <si>
    <t xml:space="preserve">    For: Weekdays,           !- Field 8</t>
  </si>
  <si>
    <t xml:space="preserve">    Until: 06:00,0.0,        !- Field 9</t>
  </si>
  <si>
    <t xml:space="preserve">    Until: 07:00,0.10,       !- Field 11</t>
  </si>
  <si>
    <t xml:space="preserve">    Until: 08:00,0.20,       !- Field 13</t>
  </si>
  <si>
    <t xml:space="preserve">    Until: 12:00,0.95,       !- Field 15</t>
  </si>
  <si>
    <t xml:space="preserve">    Until: 13:00,0.50,       !- Field 17</t>
  </si>
  <si>
    <t xml:space="preserve">    Until: 17:00,0.95,       !- Field 19</t>
  </si>
  <si>
    <t xml:space="preserve">    Until: 18:00,0.30,       !- Field 21</t>
  </si>
  <si>
    <t xml:space="preserve">    Until: 22:00,0.10,       !- Field 23</t>
  </si>
  <si>
    <t xml:space="preserve">    Until: 24:00,0.05,       !- Field 25</t>
  </si>
  <si>
    <t xml:space="preserve">    For: Saturday,           !- Field 27</t>
  </si>
  <si>
    <t xml:space="preserve">    Until: 06:00,0.0,        !- Field 28</t>
  </si>
  <si>
    <t xml:space="preserve">    Until: 08:00,0.10,       !- Field 30</t>
  </si>
  <si>
    <t xml:space="preserve">    Until: 12:00,0.30,       !- Field 32</t>
  </si>
  <si>
    <t xml:space="preserve">    Until: 17:00,0.10,       !- Field 34</t>
  </si>
  <si>
    <t xml:space="preserve">    Until: 19:00,0.05,       !- Field 36</t>
  </si>
  <si>
    <t xml:space="preserve">    Until: 24:00,0.0,        !- Field 38</t>
  </si>
  <si>
    <t xml:space="preserve">    For: AllOtherDays,       !- Field 40</t>
  </si>
  <si>
    <t xml:space="preserve">    Until: 06:00,0.0,        !- Field 41</t>
  </si>
  <si>
    <t xml:space="preserve">    Until: 18:00,0.05,       !- Field 43</t>
  </si>
  <si>
    <t xml:space="preserve">    Until: 24:00,0.0;        !- Field 45</t>
  </si>
  <si>
    <t>PNNL 2022</t>
  </si>
  <si>
    <t>PNNL Small Office</t>
  </si>
  <si>
    <t xml:space="preserve">For only 1 perimeter zone </t>
  </si>
  <si>
    <t xml:space="preserve">    BLDG_OCC_SCH_w_SB,       !- Name</t>
  </si>
  <si>
    <t xml:space="preserve">    BLDG_OCC_SCH_wo_SB,      !- Name</t>
  </si>
  <si>
    <t xml:space="preserve">    Fraction,                !- Schedule Type Limits Name</t>
  </si>
  <si>
    <t xml:space="preserve">    For: Weekdays,           !- Field 2</t>
  </si>
  <si>
    <t xml:space="preserve">    Until: 01:00,0,          !- Field 3</t>
  </si>
  <si>
    <t xml:space="preserve">    Until: 02:00,0,          !- Field 5</t>
  </si>
  <si>
    <t xml:space="preserve">    Until: 03:00,0,          !- Field 7</t>
  </si>
  <si>
    <t xml:space="preserve">    Until: 04:00,0,          !- Field 9</t>
  </si>
  <si>
    <t xml:space="preserve">    Until: 05:00,0,          !- Field 11</t>
  </si>
  <si>
    <t xml:space="preserve">    Until: 06:00,0,          !- Field 13</t>
  </si>
  <si>
    <t xml:space="preserve">    Until: 07:00,0.11,       !- Field 15</t>
  </si>
  <si>
    <t xml:space="preserve">    Until: 08:00,0.21,       !- Field 17</t>
  </si>
  <si>
    <t xml:space="preserve">    Until: 09:00,1,          !- Field 19</t>
  </si>
  <si>
    <t xml:space="preserve">    Until: 10:00,1,          !- Field 21</t>
  </si>
  <si>
    <t xml:space="preserve">    Until: 11:00,0,          !- Field 23</t>
  </si>
  <si>
    <t xml:space="preserve">    Until: 11:00,1,          !- Field 23</t>
  </si>
  <si>
    <t xml:space="preserve">    Until: 12:00,1,          !- Field 25</t>
  </si>
  <si>
    <t xml:space="preserve">    Until: 13:00,0,          !- Field 27</t>
  </si>
  <si>
    <t xml:space="preserve">    Until: 13:00,0.610394505402463, !- Field 27</t>
  </si>
  <si>
    <t xml:space="preserve">    Until: 14:00,1,          !- Field 29</t>
  </si>
  <si>
    <t xml:space="preserve">    Until: 15:00,0,          !- Field 31</t>
  </si>
  <si>
    <t xml:space="preserve">    Until: 15:00,1,          !- Field 31</t>
  </si>
  <si>
    <t xml:space="preserve">    Until: 16:00,1,          !- Field 33</t>
  </si>
  <si>
    <t xml:space="preserve">    Until: 17:00,1,          !- Field 35</t>
  </si>
  <si>
    <t xml:space="preserve">    Until: 18:00,0.32,       !- Field 37</t>
  </si>
  <si>
    <t xml:space="preserve">    Until: 19:00,0.11,       !- Field 39</t>
  </si>
  <si>
    <t xml:space="preserve">    Until: 20:00,0.11,       !- Field 41</t>
  </si>
  <si>
    <t xml:space="preserve">    Until: 21:00,0.11,       !- Field 43</t>
  </si>
  <si>
    <t xml:space="preserve">    Until: 22:00,0.11,       !- Field 45</t>
  </si>
  <si>
    <t xml:space="preserve">    Until: 23:00,0.05,       !- Field 47</t>
  </si>
  <si>
    <t xml:space="preserve">    Until: 24:00,0,          !- Field 49</t>
  </si>
  <si>
    <t xml:space="preserve">    For: Weekends,           !- Field 51</t>
  </si>
  <si>
    <t xml:space="preserve">    Until: 01:00,0,          !- Field 52</t>
  </si>
  <si>
    <t xml:space="preserve">    Until: 02:00,0,          !- Field 54</t>
  </si>
  <si>
    <t xml:space="preserve">    Until: 03:00,0,          !- Field 56</t>
  </si>
  <si>
    <t xml:space="preserve">    Until: 04:00,0,          !- Field 58</t>
  </si>
  <si>
    <t xml:space="preserve">    Until: 05:00,0,          !- Field 60</t>
  </si>
  <si>
    <t xml:space="preserve">    Until: 06:00,0,          !- Field 62</t>
  </si>
  <si>
    <t xml:space="preserve">    Until: 07:00,0,          !- Field 64</t>
  </si>
  <si>
    <t xml:space="preserve">    Until: 08:00,0,          !- Field 66</t>
  </si>
  <si>
    <t xml:space="preserve">    Until: 09:00,0,          !- Field 68</t>
  </si>
  <si>
    <t xml:space="preserve">    Until: 10:00,0,          !- Field 70</t>
  </si>
  <si>
    <t xml:space="preserve">    Until: 11:00,0,          !- Field 72</t>
  </si>
  <si>
    <t xml:space="preserve">    Until: 12:00,0,          !- Field 74</t>
  </si>
  <si>
    <t xml:space="preserve">    Until: 13:00,0,          !- Field 76</t>
  </si>
  <si>
    <t xml:space="preserve">    Until: 14:00,0,          !- Field 78</t>
  </si>
  <si>
    <t xml:space="preserve">    Until: 15:00,0,          !- Field 80</t>
  </si>
  <si>
    <t xml:space="preserve">    Until: 16:00,0,          !- Field 82</t>
  </si>
  <si>
    <t xml:space="preserve">    Until: 17:00,0,          !- Field 84</t>
  </si>
  <si>
    <t xml:space="preserve">    Until: 18:00,0,          !- Field 86</t>
  </si>
  <si>
    <t xml:space="preserve">    Until: 19:00,0,          !- Field 88</t>
  </si>
  <si>
    <t xml:space="preserve">    Until: 20:00,0,          !- Field 90</t>
  </si>
  <si>
    <t xml:space="preserve">    Until: 21:00,0,          !- Field 92</t>
  </si>
  <si>
    <t xml:space="preserve">    Until: 22:00,0,          !- Field 94</t>
  </si>
  <si>
    <t>Weekday</t>
  </si>
  <si>
    <t xml:space="preserve">    Until: 23:00,0,          !- Field 96</t>
  </si>
  <si>
    <t xml:space="preserve">Occupancy Load </t>
  </si>
  <si>
    <t>13 hours</t>
  </si>
  <si>
    <t xml:space="preserve">    Until: 24:00,0,          !- Field 98</t>
  </si>
  <si>
    <t xml:space="preserve">    For: Holiday,            !- Field 100</t>
  </si>
  <si>
    <t xml:space="preserve">    Until: 24:00,0.0,        !- Field 101</t>
  </si>
  <si>
    <t xml:space="preserve">    For: WinterDesignDay,    !- Field 103</t>
  </si>
  <si>
    <t>CEUS</t>
  </si>
  <si>
    <t>Entirely occupied</t>
  </si>
  <si>
    <t xml:space="preserve">    Until: 24:00,0.0,        !- Field 104</t>
  </si>
  <si>
    <t xml:space="preserve">    For: SummerDesignDay,    !- Field 106</t>
  </si>
  <si>
    <t xml:space="preserve">    Until: 24:00,1.0,        !- Field 107</t>
  </si>
  <si>
    <t>Weighted average operating hours per working day</t>
  </si>
  <si>
    <t xml:space="preserve">    For: CustomDay1,         !- Field 109</t>
  </si>
  <si>
    <t xml:space="preserve">    Until: 24:00,0.0,        !- Field 110</t>
  </si>
  <si>
    <t xml:space="preserve">    For: CustomDay2,         !- Field 112</t>
  </si>
  <si>
    <t xml:space="preserve">    Until: 24:00,0.0;        !- Field 113</t>
  </si>
  <si>
    <t>CBECC 2023</t>
  </si>
  <si>
    <t>CEC: CBEC 2023</t>
  </si>
  <si>
    <t xml:space="preserve">  Schedule:Day:Interval,</t>
  </si>
  <si>
    <t xml:space="preserve"> Schedule:Day:Interval,</t>
  </si>
  <si>
    <t>Schedule:Day:Interval,</t>
  </si>
  <si>
    <t xml:space="preserve">    OfficeOccupancyWD,       !- Name</t>
  </si>
  <si>
    <t xml:space="preserve">    OfficeOccupancySat,      !- Name</t>
  </si>
  <si>
    <t xml:space="preserve">    OfficeOccupancySun,      !- Name</t>
  </si>
  <si>
    <t xml:space="preserve">    No,                      !- Interpolate to Timestep</t>
  </si>
  <si>
    <t xml:space="preserve">    01:00,                   !- Time 1</t>
  </si>
  <si>
    <t xml:space="preserve">    0,                       !- Value Until Time 1</t>
  </si>
  <si>
    <t xml:space="preserve">    02:00,                   !- Time 2</t>
  </si>
  <si>
    <t xml:space="preserve">    0,                       !- Value Until Time 2</t>
  </si>
  <si>
    <t xml:space="preserve">    03:00,                   !- Time 3</t>
  </si>
  <si>
    <t xml:space="preserve">    0,                       !- Value Until Time 3</t>
  </si>
  <si>
    <t xml:space="preserve">    04:00,                   !- Time 4</t>
  </si>
  <si>
    <t xml:space="preserve">    0,                       !- Value Until Time 4</t>
  </si>
  <si>
    <t xml:space="preserve">    05:00,                   !- Time 5</t>
  </si>
  <si>
    <t xml:space="preserve">    0,                       !- Value Until Time 5</t>
  </si>
  <si>
    <t xml:space="preserve">    06:00,                   !- Time 6</t>
  </si>
  <si>
    <t xml:space="preserve">    0,                       !- Value Until Time 6</t>
  </si>
  <si>
    <t xml:space="preserve">    07:00,                   !- Time 7</t>
  </si>
  <si>
    <t xml:space="preserve">    0.1,                     !- Value Until Time 7</t>
  </si>
  <si>
    <t xml:space="preserve">    0.05,                    !- Value Until Time 7</t>
  </si>
  <si>
    <t xml:space="preserve">    08:00,                   !- Time 8</t>
  </si>
  <si>
    <t xml:space="preserve">    0.2,                     !- Value Until Time 8</t>
  </si>
  <si>
    <t xml:space="preserve">    0.1,                     !- Value Until Time 8</t>
  </si>
  <si>
    <t xml:space="preserve">    0.05,                    !- Value Until Time 8</t>
  </si>
  <si>
    <t xml:space="preserve">    09:00,                   !- Time 9</t>
  </si>
  <si>
    <t xml:space="preserve">    0.95,                    !- Value Until Time 9</t>
  </si>
  <si>
    <t xml:space="preserve">    0.3,                     !- Value Until Time 9</t>
  </si>
  <si>
    <t xml:space="preserve">    0.05,                    !- Value Until Time 9</t>
  </si>
  <si>
    <t xml:space="preserve">    10:00,                   !- Time 10</t>
  </si>
  <si>
    <t xml:space="preserve">    0.95,                    !- Value Until Time 10</t>
  </si>
  <si>
    <t xml:space="preserve">    0.3,                     !- Value Until Time 10</t>
  </si>
  <si>
    <t xml:space="preserve">    0.05,                    !- Value Until Time 10</t>
  </si>
  <si>
    <t xml:space="preserve">    11:00,                   !- Time 11</t>
  </si>
  <si>
    <t xml:space="preserve">    0.95,                    !- Value Until Time 11</t>
  </si>
  <si>
    <t xml:space="preserve">    0.3,                     !- Value Until Time 11</t>
  </si>
  <si>
    <t xml:space="preserve">    0.05,                    !- Value Until Time 11</t>
  </si>
  <si>
    <t xml:space="preserve">    12:00,                   !- Time 12</t>
  </si>
  <si>
    <t xml:space="preserve">    0.95,                    !- Value Until Time 12</t>
  </si>
  <si>
    <t xml:space="preserve">    0.3,                     !- Value Until Time 12</t>
  </si>
  <si>
    <t xml:space="preserve">    0.05,                    !- Value Until Time 12</t>
  </si>
  <si>
    <t xml:space="preserve">    13:00,                   !- Time 13</t>
  </si>
  <si>
    <t xml:space="preserve">    0.5,                     !- Value Until Time 13</t>
  </si>
  <si>
    <t xml:space="preserve">    0.1,                     !- Value Until Time 13</t>
  </si>
  <si>
    <t xml:space="preserve">    0.05,                    !- Value Until Time 13</t>
  </si>
  <si>
    <t xml:space="preserve">    14:00,                   !- Time 14</t>
  </si>
  <si>
    <t xml:space="preserve">    0.95,                    !- Value Until Time 14</t>
  </si>
  <si>
    <t xml:space="preserve">    0.1,                     !- Value Until Time 14</t>
  </si>
  <si>
    <t xml:space="preserve">    0.05,                    !- Value Until Time 14</t>
  </si>
  <si>
    <t xml:space="preserve">    15:00,                   !- Time 15</t>
  </si>
  <si>
    <t xml:space="preserve">    0.95,                    !- Value Until Time 15</t>
  </si>
  <si>
    <t xml:space="preserve">    0.1,                     !- Value Until Time 15</t>
  </si>
  <si>
    <t xml:space="preserve">    0.05,                    !- Value Until Time 15</t>
  </si>
  <si>
    <t xml:space="preserve">    16:00,                   !- Time 16</t>
  </si>
  <si>
    <t xml:space="preserve">    0.95,                    !- Value Until Time 16</t>
  </si>
  <si>
    <t xml:space="preserve">    0.1,                     !- Value Until Time 16</t>
  </si>
  <si>
    <t xml:space="preserve">    0.05,                    !- Value Until Time 16</t>
  </si>
  <si>
    <t xml:space="preserve">    17:00,                   !- Time 17</t>
  </si>
  <si>
    <t xml:space="preserve">    0.95,                    !- Value Until Time 17</t>
  </si>
  <si>
    <t xml:space="preserve">    0.1,                     !- Value Until Time 17</t>
  </si>
  <si>
    <t xml:space="preserve">    0.05,                    !- Value Until Time 17</t>
  </si>
  <si>
    <t xml:space="preserve">    18:00,                   !- Time 18</t>
  </si>
  <si>
    <t xml:space="preserve">    0.3,                     !- Value Until Time 18</t>
  </si>
  <si>
    <t xml:space="preserve">    0.05,                    !- Value Until Time 18</t>
  </si>
  <si>
    <t xml:space="preserve">    19:00,                   !- Time 19</t>
  </si>
  <si>
    <t xml:space="preserve">    0.1,                     !- Value Until Time 19</t>
  </si>
  <si>
    <t xml:space="preserve">    0.05,                    !- Value Until Time 19</t>
  </si>
  <si>
    <t xml:space="preserve">    0,                       !- Value Until Time 19</t>
  </si>
  <si>
    <t xml:space="preserve">    20:00,                   !- Time 20</t>
  </si>
  <si>
    <t xml:space="preserve">    0.1,                     !- Value Until Time 20</t>
  </si>
  <si>
    <t xml:space="preserve">    0,                       !- Value Until Time 20</t>
  </si>
  <si>
    <t xml:space="preserve">    21:00,                   !- Time 21</t>
  </si>
  <si>
    <t xml:space="preserve">    0.1,                     !- Value Until Time 21</t>
  </si>
  <si>
    <t xml:space="preserve">    0,                       !- Value Until Time 21</t>
  </si>
  <si>
    <t xml:space="preserve">    22:00,                   !- Time 22</t>
  </si>
  <si>
    <t xml:space="preserve">    0.1,                     !- Value Until Time 22</t>
  </si>
  <si>
    <t xml:space="preserve">    0,                       !- Value Until Time 22</t>
  </si>
  <si>
    <t xml:space="preserve">    23:00,                   !- Time 23</t>
  </si>
  <si>
    <t xml:space="preserve">    0.05,                    !- Value Until Time 23</t>
  </si>
  <si>
    <t xml:space="preserve">    0,                       !- Value Until Time 23</t>
  </si>
  <si>
    <t xml:space="preserve">    24:00,                   !- Time 24</t>
  </si>
  <si>
    <t xml:space="preserve">    0.05;                    !- Value Until Time 24</t>
  </si>
  <si>
    <t xml:space="preserve">    0;                       !- Value Until Time 24</t>
  </si>
  <si>
    <t>Equipment  - New Construction</t>
  </si>
  <si>
    <t>Space</t>
  </si>
  <si>
    <t xml:space="preserve">Horticulture Lighting (W/ft² canopy) </t>
  </si>
  <si>
    <t>Gas Power Density (Btu/hr-ft²)</t>
  </si>
  <si>
    <t>Max Dimming %</t>
  </si>
  <si>
    <t>Horitculture Vegetative</t>
  </si>
  <si>
    <t>T24 2025 - Revised CEH Lighting Cannabis Calculations  ( lighting power density and dimming on analysis of 6 California facilities provided by Dr. Greenhouse)
Note that with LEDs, flower room dimming veries from 60% to 100% over the plant grow cycle.</t>
  </si>
  <si>
    <t>Equipment - pre-2022</t>
  </si>
  <si>
    <t>Non-LED, no dimming</t>
  </si>
  <si>
    <t>Equipment - all vintages</t>
  </si>
  <si>
    <t>Circulation Fan (W/ft²)</t>
  </si>
  <si>
    <t>Fan Efficiency</t>
  </si>
  <si>
    <t xml:space="preserve">Need to calculate watts/sq foot of canopy based on number of fans needed to provide 100CFM across canopy, and watts per CFM for each fan. </t>
  </si>
  <si>
    <t>Target PPFD (μmol/m²/s)</t>
  </si>
  <si>
    <t>Fixture Efficacy (μmol/J)</t>
  </si>
  <si>
    <t>Column1</t>
  </si>
  <si>
    <t>Calculated LPD (W/m²)</t>
  </si>
  <si>
    <t>Calculated LPD (W/ft²)</t>
  </si>
  <si>
    <t>Formula (W/m²)</t>
  </si>
  <si>
    <t>Formula (W/ft²)</t>
  </si>
  <si>
    <t>Vegetative Grow Room</t>
  </si>
  <si>
    <t>Lower PPFD; blue spectrum; 18 hr photoperiod. 2025 T24 requirements</t>
  </si>
  <si>
    <t>Flowering Grow Room</t>
  </si>
  <si>
    <t>High PPFD; red spectrum; 12 hr photoperiod. 2025 T24 requirements</t>
  </si>
  <si>
    <t>Mother/Clone Room</t>
  </si>
  <si>
    <t>Gentle lighting for propagation / 24 hr photoperiod. 2025 T24 requirements</t>
  </si>
  <si>
    <t>Drying/Curing Room</t>
  </si>
  <si>
    <t>Low light; inspection and handling. ASHRAE 189.1 add t</t>
  </si>
  <si>
    <t>Schedule</t>
  </si>
  <si>
    <t>Zone</t>
  </si>
  <si>
    <t>Day</t>
  </si>
  <si>
    <t>Office Areas Occupancy</t>
  </si>
  <si>
    <r>
      <t xml:space="preserve">T24 2022 - Appendix 5.4B Office
</t>
    </r>
    <r>
      <rPr>
        <sz val="9"/>
        <color rgb="FF00B050"/>
        <rFont val="Arial"/>
        <family val="2"/>
      </rPr>
      <t>….........</t>
    </r>
  </si>
  <si>
    <t>Office Restroom Security</t>
  </si>
  <si>
    <t>Office Areas Lighting</t>
  </si>
  <si>
    <t>Office Areas HVAC Availability</t>
  </si>
  <si>
    <t>Office Areas Infiltration</t>
  </si>
  <si>
    <t>Storage and Process Areas Occupancy</t>
  </si>
  <si>
    <r>
      <t xml:space="preserve">T24 2022 - Appendix 5.4B Warehouse
</t>
    </r>
    <r>
      <rPr>
        <sz val="9"/>
        <color rgb="FF00B050"/>
        <rFont val="Arial"/>
        <family val="2"/>
      </rPr>
      <t>….........</t>
    </r>
  </si>
  <si>
    <t>Processing Area Storage and Shipping</t>
  </si>
  <si>
    <t>Storage and Process Areas Lighting</t>
  </si>
  <si>
    <t>Horticulture Drying Area Occupancy</t>
  </si>
  <si>
    <t>Horticulture Drying Area  Lighting</t>
  </si>
  <si>
    <t>Horticulture Vegetative  Horticultural Lighting</t>
  </si>
  <si>
    <t>T24 2025 Revised CEH Lighting Calcs</t>
  </si>
  <si>
    <t>Horticulture Vegetative Occupancy</t>
  </si>
  <si>
    <t>T24 2025 App 5.4 B Light Manufacturing as a place holder</t>
  </si>
  <si>
    <t>Horticulture Flowering Occupancy</t>
  </si>
  <si>
    <t>Horticulture Flowering Horticultural Lighting - Dimming schedule</t>
  </si>
  <si>
    <t>Initial Stage (7 days)</t>
  </si>
  <si>
    <t>Early Stage (7 days)</t>
  </si>
  <si>
    <t>Mid Stage (35 days)</t>
  </si>
  <si>
    <t>Late Stage (14 days)</t>
  </si>
  <si>
    <t>Crop Rotation (4 days)</t>
  </si>
  <si>
    <t>Horticulture Flowering HVAC Availability</t>
  </si>
  <si>
    <t>HVAC can operate 24/7 as needed</t>
  </si>
  <si>
    <t>Horticulture Vegetative HVAC Availability</t>
  </si>
  <si>
    <t>Horticulture Vegetative Infiltration</t>
  </si>
  <si>
    <t>Due to 365 operating schedule infiltration is constant</t>
  </si>
  <si>
    <t>Horticulture Flowering Infiltration</t>
  </si>
  <si>
    <t>;</t>
  </si>
  <si>
    <t>Horticutlure Flowering CEH Transpiration Schedule (% of peak latent load)</t>
  </si>
  <si>
    <t>Code Readiness Field data (condensate measurement)</t>
  </si>
  <si>
    <t xml:space="preserve">Horticutlure Flowering CEH Setpoint Schedule (Cooling, °F) </t>
  </si>
  <si>
    <t>Code Readiness Field data, SME data from multiple facilities</t>
  </si>
  <si>
    <t>Initial &amp; Early Stages (14 days)</t>
  </si>
  <si>
    <t xml:space="preserve">Horticutlure Flowering CEH Setpoint Schedule (Dehumidifying, %RH) </t>
  </si>
  <si>
    <t>Horticutlure Vegitative CEH Transpiration Schedule (% of peak latent load)</t>
  </si>
  <si>
    <t>Code Readiness Field data, KEM data from multiple facilities</t>
  </si>
  <si>
    <t>365 days</t>
  </si>
  <si>
    <t xml:space="preserve">Horticutlure Vegitative CEH Setpoint Schedule (Cooling, °F) </t>
  </si>
  <si>
    <t>KEM average 8 facilities</t>
  </si>
  <si>
    <t>Horticutlure Vegitative CEH Setpoint Schedule (Dehumidifying, %RH)</t>
  </si>
  <si>
    <t>Horticutlure Drying 
Latent Load Schedule (% of peak latent load)</t>
  </si>
  <si>
    <t xml:space="preserve">Horticutlure Drying Setpoint Schedule (Cooling, °F) </t>
  </si>
  <si>
    <t>Horticutlure Drying Setpoint Schedule (Dehumidifying, %RH)</t>
  </si>
  <si>
    <t>Maximum Evapotranspiration Latent Cooling load (Btuh/sq ft)</t>
  </si>
  <si>
    <t>Max Evaporative Sensible Cooling Load (Btuh/sqft)</t>
  </si>
  <si>
    <t>Horticulture Flowering</t>
  </si>
  <si>
    <t xml:space="preserve">Dr. Greenhouse analysis of latent load for single level facilities gave 70Btuh/sf room area for single level only; 73.8 for single level CA-only, 91 for single and double-level, 118.6 for LED-only (single plus double-level). 
</t>
  </si>
  <si>
    <t>Horticulture Vegitative</t>
  </si>
  <si>
    <t xml:space="preserve">Given the size of these rooms, need to assume double-stack for veg room to serve flower rooms of this size. (Veg canopy = 1/3 total flower canopy.)
</t>
  </si>
  <si>
    <t>Horticulture Drying</t>
  </si>
  <si>
    <t>This is 600 pints per day, which is  27,600Btuh, which is 18.4Btuh/sqft</t>
  </si>
  <si>
    <t>CZ</t>
  </si>
  <si>
    <t>Total Floorspace (Thousand of ft²)</t>
  </si>
  <si>
    <t>Electric Energy Intensity (kWh/ft²)</t>
  </si>
  <si>
    <t>Annual Gas Intensity (kWh/ft²)</t>
  </si>
  <si>
    <t>Vintage Bin</t>
  </si>
  <si>
    <t>Exisiting</t>
  </si>
  <si>
    <t>Ref: CEC 2026 Construction Forecast. 2025 CEH CASE Report</t>
  </si>
  <si>
    <t>2026 Consturction forecast (millions of square feet)</t>
  </si>
  <si>
    <t>NC</t>
  </si>
  <si>
    <t xml:space="preserve">New Construction </t>
  </si>
  <si>
    <t>LPD (W/ft²)</t>
  </si>
  <si>
    <t>Additional LPD for Portable Lighting (W/ft²)</t>
  </si>
  <si>
    <t xml:space="preserve">LPD (W/ft²) </t>
  </si>
  <si>
    <t>Motion Controlled Luminaires (W)</t>
  </si>
  <si>
    <t>Non-motion Controlled Luminaires (W)</t>
  </si>
  <si>
    <t>Total (W)</t>
  </si>
  <si>
    <t>T24, 2022. Warehouse Prototype</t>
  </si>
  <si>
    <t xml:space="preserve">Exterior Lighting </t>
  </si>
  <si>
    <t>Items (Assume LZ2)</t>
  </si>
  <si>
    <t>Assumptions
[2019 Outdoor Lighting CASE Report &amp; PNNL 90.1-2010 TSD]</t>
  </si>
  <si>
    <t>Unit</t>
  </si>
  <si>
    <t>Lighting Power Allowance 
[T24, 2025, Table 140.7-A &amp; 140.7-B]</t>
  </si>
  <si>
    <t>Exterior Lighting Power (W)</t>
  </si>
  <si>
    <t>IWA (Initial Wattage Allowance)</t>
  </si>
  <si>
    <t>TBD (Exterior wattage may have additional allotment for security based on jurisidiction)</t>
  </si>
  <si>
    <t>(W)</t>
  </si>
  <si>
    <t>Parking area</t>
  </si>
  <si>
    <t xml:space="preserve"> 400 ft² for every parking space  Motion control
1 parking space per 830 ft² of gross building area </t>
  </si>
  <si>
    <t>(ft²)</t>
  </si>
  <si>
    <t>(W/ft²)</t>
  </si>
  <si>
    <t>Building Entrance</t>
  </si>
  <si>
    <t>5 building entrance (1 per 10,000 ft² footprint)</t>
  </si>
  <si>
    <t>(count)</t>
  </si>
  <si>
    <t>(W/ea)</t>
  </si>
  <si>
    <t>Building façade</t>
  </si>
  <si>
    <t>…....
Façade Area = Perimeter × 0.5 × Min (building height in ft and 30 ft) 
The 0.5 factor assumes that only half of the perimeter walls are lit.
-Formula ia developed based on the 2019 Outdoor Lighting CASE report</t>
  </si>
  <si>
    <t>Motion controlled Luminaires</t>
  </si>
  <si>
    <t>Non-motion-controlled Luminaires</t>
  </si>
  <si>
    <t>TOTAL</t>
  </si>
  <si>
    <t>*Developed based on 2019 Outdoor Lighting CASE Report</t>
  </si>
  <si>
    <t>Perimeter (ft)</t>
  </si>
  <si>
    <t>Total floor area (ft²)</t>
  </si>
  <si>
    <t>Floors</t>
  </si>
  <si>
    <t>Height (ft)</t>
  </si>
  <si>
    <t>T24, part6, 2025, 130.2(c)3</t>
  </si>
  <si>
    <t>Title 24, 2025</t>
  </si>
  <si>
    <t>No official prior prototypes.  The Statewide CASE Team developed the prototype based on collected data and input from CEH SMEs including Dr. Greenhouse, Kelley Energy Management, J2M Consulting, Zartarian Engineering, and Gillie Consulting.</t>
  </si>
  <si>
    <t xml:space="preserve"> </t>
  </si>
  <si>
    <t>Codes</t>
  </si>
  <si>
    <t>Title 24, part 6, referred to as T24(2019, 2022, 2025)</t>
  </si>
  <si>
    <t>ASHRAE 90.1 (2022)</t>
  </si>
  <si>
    <t>Others</t>
  </si>
  <si>
    <t xml:space="preserve">ACM </t>
  </si>
  <si>
    <t>Title 24, 2022 &amp; 2025 - Appendix 5.4A and Appendix 5.4B</t>
  </si>
  <si>
    <t>https://www.energy.ca.gov/publications/2022/2022-nonresidential-and-multifamily-alternative-calculation-method-reference</t>
  </si>
  <si>
    <t>Air leakage Memo, NORESCO, 2025</t>
  </si>
  <si>
    <t>https://2050partners.sharepoint.com/:w:/r/sites/CalBEMCollaborativeEfforts/_layouts/15/Doc.aspx?sourcedoc=%7B3BEF8F74-7FAC-44F2-A70C-D76617660066%7D&amp;file=Infiltration_rate_report_14May2025-Short-Version.docx&amp;action=default&amp;mobileredirect=true</t>
  </si>
  <si>
    <t>ANSI ASABE EP653</t>
  </si>
  <si>
    <t xml:space="preserve">https://energysolutionsonline.sharepoint.com/:x:/r/teams/extranet/2028-t24/NR%20Library/Covered%20Process/CEH%20Lighting%20Controls/Previous%20Cycle%20Analysis%20(2025)/Reconciliation%20Files%20%26%20Analysis/Warehouse%20-%20ALL%20Plants/JS%20UPDATED__2.25.25__CEH%20Indoor%20Lighting.xlsx?d=wc4895b5252894213a93c70344b0c161f&amp;csf=1&amp;web=1&amp;e=St4i1R </t>
  </si>
  <si>
    <t>2025 T24 Reviesed CEH Lighting PPE Calcs</t>
  </si>
  <si>
    <t>Code Readiness report: Controlled Environment Horticulture: Energy  Consumption and Environmental Control Field Study  CR22PGE0101-1</t>
  </si>
  <si>
    <t>https://etcc-ca.com/reports/market-characterization-indoor-cannabis-cultivation</t>
  </si>
  <si>
    <t>Market Characterization of Indoor Cannabis Cultivation</t>
  </si>
  <si>
    <t>Airside Economizers – The Opportunity-Cost of Using  Outside Air for Air Conditioning</t>
  </si>
  <si>
    <t>A Beginner’s Guide to Proper Ventilation for Cannabis Grow Rooms for OSA numbers</t>
  </si>
  <si>
    <t xml:space="preserve">https://www.greenavengerseeds.com/ventilation-for-cannabis-grow/ </t>
  </si>
  <si>
    <t>Data Sets</t>
  </si>
  <si>
    <t>Dataset</t>
  </si>
  <si>
    <t>CEC 2026 Construction Forecast</t>
  </si>
  <si>
    <t>Data set</t>
  </si>
  <si>
    <t>For existing the Department of Cannabis Control Licensing Data</t>
  </si>
  <si>
    <t xml:space="preserve">Horticultural lighting and other related equipment EUI is represented in the Equipment sheet of this scorecard. The schedule for horticultural lighting is represented in the schedules tab. Latent load schedules represent water transpired by and evaporative cooling from plants in the space. </t>
  </si>
  <si>
    <t>Year</t>
  </si>
  <si>
    <r>
      <t xml:space="preserve">Table B: To be used for converting from New Forecast Zones to Standards Zone </t>
    </r>
    <r>
      <rPr>
        <b/>
        <sz val="12"/>
        <rFont val="Calibri"/>
        <family val="2"/>
        <scheme val="minor"/>
      </rPr>
      <t>(Using 2010 Census Population Data)</t>
    </r>
  </si>
  <si>
    <t>Source:CECCFM/Weather/ClimateZoneAnalysis 12-06-16.xlsx</t>
  </si>
  <si>
    <t xml:space="preserve"> New Forecast Zones</t>
  </si>
  <si>
    <t xml:space="preserve">Ref: </t>
  </si>
  <si>
    <t>\\carcgl.com\amer\NOR\Prj_SUS\2023\S23668 SCE CA Prototypes Development\Technical\NR\FCZ to CZ.xlsx</t>
  </si>
  <si>
    <t>33% of CZ 9 comes from FZ 7 and when we apply floor area then this 33% play a very important role.</t>
  </si>
  <si>
    <t>Small office Floor area (Ref: CEUS 2018 Appendix K)*</t>
  </si>
  <si>
    <r>
      <t xml:space="preserve">Trasposed Table B: To be used for converting from New Forecast Zones to Standards Zone </t>
    </r>
    <r>
      <rPr>
        <b/>
        <sz val="12"/>
        <rFont val="Calibri"/>
        <family val="2"/>
        <scheme val="minor"/>
      </rPr>
      <t>(Using 2010 Census Population Data)</t>
    </r>
  </si>
  <si>
    <t>Floor Stock (kft2)</t>
  </si>
  <si>
    <t>Floor area kft2</t>
  </si>
  <si>
    <t>FZ/CZ</t>
  </si>
  <si>
    <t>* Small office in CEUS 2018 is any office below 30KSF. It is pretty close to our definition for small office ( any office below 25KSF)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</si>
</sst>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_(* \(#,##0.00\);_(* &quot;-&quot;??_);_(@_)"/>
    <numFmt numFmtId="164" formatCode="0.0%"/>
    <numFmt numFmtId="165" formatCode="0.0"/>
    <numFmt numFmtId="166" formatCode="#,##0.0"/>
    <numFmt numFmtId="167" formatCode="0.0000"/>
    <numFmt numFmtId="168" formatCode="0.000"/>
    <numFmt numFmtId="169" formatCode="_(* #,##0_);_(* \(#,##0\);_(* &quot;-&quot;??_);_(@_)"/>
    <numFmt numFmtId="170" formatCode="#,##0;\-0;[Color15]0"/>
  </numFmts>
  <fonts count="82">
    <font>
      <sz val="11"/>
      <color theme="1"/>
      <name val="Calibri"/>
      <family val="2"/>
      <scheme val="minor"/>
    </font>
    <font>
      <b/>
      <sz val="14"/>
      <color theme="1"/>
      <name val="Calibri"/>
      <family val="2"/>
      <scheme val="minor"/>
    </font>
    <font>
      <sz val="10"/>
      <name val="Arial"/>
      <family val="2"/>
    </font>
    <font>
      <sz val="11"/>
      <color theme="1"/>
      <name val="Calibri"/>
      <family val="2"/>
      <scheme val="minor"/>
    </font>
    <font>
      <b/>
      <sz val="11"/>
      <color theme="1"/>
      <name val="Calibri"/>
      <family val="2"/>
      <scheme val="minor"/>
    </font>
    <font>
      <b/>
      <sz val="9"/>
      <color indexed="81"/>
      <name val="Tahoma"/>
      <family val="2"/>
    </font>
    <font>
      <b/>
      <sz val="12"/>
      <color indexed="81"/>
      <name val="Tahoma"/>
      <family val="2"/>
    </font>
    <font>
      <sz val="9"/>
      <color indexed="81"/>
      <name val="Tahoma"/>
      <family val="2"/>
    </font>
    <font>
      <sz val="8"/>
      <color indexed="8"/>
      <name val="MS Sans Serif"/>
      <family val="2"/>
    </font>
    <font>
      <sz val="8"/>
      <name val="Calibri"/>
      <family val="2"/>
      <scheme val="minor"/>
    </font>
    <font>
      <sz val="12"/>
      <color theme="1"/>
      <name val="Calibri"/>
      <family val="2"/>
      <scheme val="minor"/>
    </font>
    <font>
      <sz val="10"/>
      <color theme="1"/>
      <name val="Arial"/>
      <family val="2"/>
    </font>
    <font>
      <b/>
      <sz val="14"/>
      <name val="Calibri"/>
      <family val="2"/>
      <scheme val="minor"/>
    </font>
    <font>
      <b/>
      <sz val="12"/>
      <name val="Calibri"/>
      <family val="2"/>
      <scheme val="minor"/>
    </font>
    <font>
      <b/>
      <sz val="14"/>
      <color rgb="FF00B0F0"/>
      <name val="Calibri"/>
      <family val="2"/>
      <scheme val="minor"/>
    </font>
    <font>
      <sz val="9"/>
      <name val="Calibri"/>
      <family val="2"/>
      <scheme val="minor"/>
    </font>
    <font>
      <b/>
      <sz val="12"/>
      <color rgb="FFFF0000"/>
      <name val="Calibri"/>
      <family val="2"/>
      <scheme val="minor"/>
    </font>
    <font>
      <b/>
      <sz val="10"/>
      <color theme="1"/>
      <name val="Arial"/>
      <family val="2"/>
    </font>
    <font>
      <u/>
      <sz val="11"/>
      <color theme="10"/>
      <name val="Calibri"/>
      <family val="2"/>
      <scheme val="minor"/>
    </font>
    <font>
      <b/>
      <sz val="11"/>
      <color theme="0"/>
      <name val="Calibri"/>
      <family val="2"/>
      <scheme val="minor"/>
    </font>
    <font>
      <sz val="11"/>
      <color theme="1"/>
      <name val="Tahoma"/>
      <family val="2"/>
    </font>
    <font>
      <b/>
      <sz val="14"/>
      <color theme="0"/>
      <name val="Calibri"/>
      <family val="2"/>
      <scheme val="minor"/>
    </font>
    <font>
      <sz val="14"/>
      <color theme="1"/>
      <name val="Calibri"/>
      <family val="2"/>
      <scheme val="minor"/>
    </font>
    <font>
      <b/>
      <sz val="12"/>
      <color theme="1"/>
      <name val="Calibri"/>
      <family val="2"/>
      <scheme val="minor"/>
    </font>
    <font>
      <b/>
      <sz val="12"/>
      <color theme="0"/>
      <name val="Calibri"/>
      <family val="2"/>
      <scheme val="minor"/>
    </font>
    <font>
      <b/>
      <sz val="11"/>
      <name val="Calibri"/>
      <family val="2"/>
      <scheme val="minor"/>
    </font>
    <font>
      <sz val="10"/>
      <color indexed="8"/>
      <name val="Arial"/>
      <family val="2"/>
    </font>
    <font>
      <sz val="11"/>
      <color theme="0"/>
      <name val="Calibri"/>
      <family val="2"/>
      <scheme val="minor"/>
    </font>
    <font>
      <sz val="11"/>
      <color theme="1"/>
      <name val="Arial"/>
      <family val="2"/>
    </font>
    <font>
      <b/>
      <sz val="12"/>
      <color theme="0"/>
      <name val="Arial"/>
      <family val="2"/>
    </font>
    <font>
      <sz val="11"/>
      <color rgb="FF000000"/>
      <name val="Calibri"/>
      <family val="2"/>
      <scheme val="minor"/>
    </font>
    <font>
      <b/>
      <sz val="14"/>
      <color theme="1"/>
      <name val="Arial"/>
      <family val="2"/>
    </font>
    <font>
      <u/>
      <sz val="10"/>
      <color theme="10"/>
      <name val="Arial"/>
      <family val="2"/>
    </font>
    <font>
      <sz val="10"/>
      <color rgb="FF000000"/>
      <name val="Calibri"/>
      <family val="2"/>
      <scheme val="minor"/>
    </font>
    <font>
      <sz val="10"/>
      <color theme="1"/>
      <name val="Calibri"/>
      <family val="2"/>
      <scheme val="minor"/>
    </font>
    <font>
      <b/>
      <sz val="18"/>
      <color theme="0"/>
      <name val="Calibri"/>
      <family val="2"/>
      <scheme val="minor"/>
    </font>
    <font>
      <b/>
      <sz val="11"/>
      <color rgb="FF0070C0"/>
      <name val="Calibri"/>
      <family val="2"/>
      <scheme val="minor"/>
    </font>
    <font>
      <b/>
      <sz val="14"/>
      <color rgb="FF0070C0"/>
      <name val="Calibri"/>
      <family val="2"/>
      <scheme val="minor"/>
    </font>
    <font>
      <sz val="8"/>
      <color rgb="FF000000"/>
      <name val="Calibri"/>
      <family val="2"/>
      <scheme val="minor"/>
    </font>
    <font>
      <b/>
      <sz val="11"/>
      <color rgb="FFFF0000"/>
      <name val="Calibri"/>
      <family val="2"/>
      <scheme val="minor"/>
    </font>
    <font>
      <b/>
      <sz val="10"/>
      <name val="Arial"/>
      <family val="2"/>
    </font>
    <font>
      <b/>
      <sz val="10"/>
      <color indexed="8"/>
      <name val="Arial"/>
      <family val="2"/>
    </font>
    <font>
      <sz val="10"/>
      <color rgb="FFFF0000"/>
      <name val="Arial"/>
      <family val="2"/>
    </font>
    <font>
      <sz val="9"/>
      <color theme="1"/>
      <name val="Arial"/>
      <family val="2"/>
    </font>
    <font>
      <sz val="10"/>
      <color rgb="FF000000"/>
      <name val="Arial"/>
      <family val="2"/>
    </font>
    <font>
      <b/>
      <sz val="10"/>
      <color rgb="FF000000"/>
      <name val="Arial"/>
      <family val="2"/>
    </font>
    <font>
      <b/>
      <sz val="9"/>
      <color theme="0"/>
      <name val="Arial"/>
      <family val="2"/>
    </font>
    <font>
      <sz val="11"/>
      <color theme="1"/>
      <name val="Arial"/>
      <family val="2"/>
    </font>
    <font>
      <sz val="12"/>
      <color theme="1"/>
      <name val="Arial"/>
      <family val="2"/>
    </font>
    <font>
      <sz val="11"/>
      <color rgb="FFC00000"/>
      <name val="Arial"/>
      <family val="2"/>
    </font>
    <font>
      <sz val="10"/>
      <color theme="0"/>
      <name val="Arial"/>
      <family val="2"/>
    </font>
    <font>
      <sz val="10"/>
      <color rgb="FF0070C0"/>
      <name val="Arial"/>
      <family val="2"/>
    </font>
    <font>
      <sz val="11"/>
      <color rgb="FF000000"/>
      <name val="Arial"/>
      <family val="2"/>
    </font>
    <font>
      <b/>
      <sz val="12"/>
      <color rgb="FFFFFFFF"/>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8"/>
      <color theme="3"/>
      <name val="Calibri Light"/>
      <family val="2"/>
      <scheme val="major"/>
    </font>
    <font>
      <sz val="11"/>
      <color rgb="FF9C6500"/>
      <name val="Calibri"/>
      <family val="2"/>
      <scheme val="minor"/>
    </font>
    <font>
      <sz val="9"/>
      <name val="Arial"/>
      <family val="2"/>
    </font>
    <font>
      <sz val="9"/>
      <color rgb="FF00B050"/>
      <name val="Arial"/>
      <family val="2"/>
    </font>
    <font>
      <sz val="11"/>
      <name val="Arial"/>
      <family val="2"/>
    </font>
    <font>
      <sz val="11"/>
      <color rgb="FFFF0000"/>
      <name val="Arial"/>
      <family val="2"/>
    </font>
    <font>
      <sz val="11"/>
      <name val="Aptos Narrow"/>
      <family val="2"/>
    </font>
    <font>
      <sz val="10"/>
      <color rgb="FF92D050"/>
      <name val="Arial"/>
      <family val="2"/>
    </font>
    <font>
      <sz val="11"/>
      <name val="Calibri"/>
      <family val="2"/>
      <scheme val="minor"/>
    </font>
    <font>
      <sz val="10"/>
      <color theme="0" tint="-0.34998626667073579"/>
      <name val="Arial"/>
      <family val="2"/>
    </font>
    <font>
      <sz val="11"/>
      <color theme="0" tint="-0.34998626667073579"/>
      <name val="Calibri"/>
      <family val="2"/>
      <scheme val="minor"/>
    </font>
    <font>
      <sz val="10"/>
      <name val="Calibri"/>
      <family val="2"/>
      <scheme val="minor"/>
    </font>
    <font>
      <sz val="12"/>
      <color theme="1"/>
      <name val="Aptos"/>
      <family val="2"/>
    </font>
    <font>
      <b/>
      <sz val="12"/>
      <color theme="1"/>
      <name val="Aptos"/>
      <family val="2"/>
    </font>
    <font>
      <sz val="11"/>
      <color theme="1"/>
      <name val="Arial"/>
      <family val="2"/>
    </font>
    <font>
      <b/>
      <sz val="11"/>
      <name val="Arial"/>
      <family val="2"/>
    </font>
    <font>
      <b/>
      <sz val="12"/>
      <color rgb="FF0070C0"/>
      <name val="Aptos"/>
    </font>
  </fonts>
  <fills count="64">
    <fill>
      <patternFill patternType="none"/>
    </fill>
    <fill>
      <patternFill patternType="gray125"/>
    </fill>
    <fill>
      <patternFill patternType="solid">
        <fgColor rgb="FF92D050"/>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1"/>
        <bgColor indexed="64"/>
      </patternFill>
    </fill>
    <fill>
      <patternFill patternType="solid">
        <fgColor rgb="FF002060"/>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5" tint="-0.499984740745262"/>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0" tint="-0.14996795556505021"/>
        <bgColor indexed="64"/>
      </patternFill>
    </fill>
    <fill>
      <patternFill patternType="solid">
        <fgColor theme="1" tint="0.249977111117893"/>
        <bgColor indexed="64"/>
      </patternFill>
    </fill>
    <fill>
      <patternFill patternType="solid">
        <fgColor theme="4" tint="-0.499984740745262"/>
        <bgColor indexed="64"/>
      </patternFill>
    </fill>
    <fill>
      <patternFill patternType="solid">
        <fgColor theme="1" tint="0.34998626667073579"/>
        <bgColor indexed="64"/>
      </patternFill>
    </fill>
    <fill>
      <patternFill patternType="solid">
        <fgColor rgb="FFD9E1F2"/>
        <bgColor rgb="FF000000"/>
      </patternFill>
    </fill>
    <fill>
      <patternFill patternType="solid">
        <fgColor rgb="FF203764"/>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lightUp"/>
    </fill>
    <fill>
      <patternFill patternType="solid">
        <fgColor theme="2"/>
        <bgColor indexed="64"/>
      </patternFill>
    </fill>
    <fill>
      <patternFill patternType="solid">
        <fgColor theme="9" tint="0.79998168889431442"/>
        <bgColor indexed="64"/>
      </patternFill>
    </fill>
    <fill>
      <patternFill patternType="solid">
        <fgColor rgb="FFD9E1F2"/>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indexed="64"/>
      </left>
      <right style="thin">
        <color indexed="64"/>
      </right>
      <top style="thin">
        <color indexed="64"/>
      </top>
      <bottom style="medium">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499984740745262"/>
      </left>
      <right style="medium">
        <color indexed="64"/>
      </right>
      <top style="medium">
        <color indexed="64"/>
      </top>
      <bottom style="thin">
        <color theme="1" tint="0.499984740745262"/>
      </bottom>
      <diagonal/>
    </border>
    <border>
      <left style="thin">
        <color theme="1" tint="0.499984740745262"/>
      </left>
      <right style="medium">
        <color indexed="64"/>
      </right>
      <top style="thin">
        <color theme="1" tint="0.499984740745262"/>
      </top>
      <bottom style="thin">
        <color theme="1" tint="0.499984740745262"/>
      </bottom>
      <diagonal/>
    </border>
    <border>
      <left style="thin">
        <color theme="1" tint="0.499984740745262"/>
      </left>
      <right style="medium">
        <color indexed="64"/>
      </right>
      <top style="thin">
        <color theme="1" tint="0.499984740745262"/>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theme="1" tint="4.9989318521683403E-2"/>
      </left>
      <right style="thin">
        <color theme="1" tint="4.9989318521683403E-2"/>
      </right>
      <top style="thin">
        <color theme="1" tint="4.9989318521683403E-2"/>
      </top>
      <bottom style="thin">
        <color theme="1" tint="4.9989318521683403E-2"/>
      </bottom>
      <diagonal/>
    </border>
    <border>
      <left style="thin">
        <color theme="1" tint="0.34998626667073579"/>
      </left>
      <right style="thin">
        <color theme="1" tint="0.34998626667073579"/>
      </right>
      <top style="thin">
        <color theme="1" tint="0.34998626667073579"/>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1" tint="4.9989318521683403E-2"/>
      </right>
      <top style="thin">
        <color theme="1" tint="4.9989318521683403E-2"/>
      </top>
      <bottom style="thin">
        <color theme="1" tint="4.9989318521683403E-2"/>
      </bottom>
      <diagonal/>
    </border>
    <border>
      <left/>
      <right/>
      <top/>
      <bottom style="thin">
        <color theme="1" tint="4.9989318521683403E-2"/>
      </bottom>
      <diagonal/>
    </border>
    <border>
      <left style="thin">
        <color theme="1" tint="4.9989318521683403E-2"/>
      </left>
      <right/>
      <top style="thin">
        <color theme="1" tint="4.9989318521683403E-2"/>
      </top>
      <bottom style="thin">
        <color theme="1" tint="4.9989318521683403E-2"/>
      </bottom>
      <diagonal/>
    </border>
    <border>
      <left/>
      <right/>
      <top style="thin">
        <color theme="1" tint="4.9989318521683403E-2"/>
      </top>
      <bottom style="thin">
        <color theme="1" tint="4.9989318521683403E-2"/>
      </bottom>
      <diagonal/>
    </border>
    <border>
      <left style="thin">
        <color theme="1" tint="0.34998626667073579"/>
      </left>
      <right/>
      <top/>
      <bottom/>
      <diagonal/>
    </border>
    <border>
      <left/>
      <right/>
      <top style="thin">
        <color theme="1" tint="0.34998626667073579"/>
      </top>
      <bottom/>
      <diagonal/>
    </border>
    <border>
      <left/>
      <right style="thin">
        <color theme="1" tint="0.34998626667073579"/>
      </right>
      <top/>
      <bottom/>
      <diagonal/>
    </border>
    <border>
      <left/>
      <right/>
      <top/>
      <bottom style="thin">
        <color theme="1" tint="0.34998626667073579"/>
      </bottom>
      <diagonal/>
    </border>
    <border>
      <left style="thin">
        <color indexed="64"/>
      </left>
      <right/>
      <top/>
      <bottom style="thin">
        <color theme="1" tint="0.34998626667073579"/>
      </bottom>
      <diagonal/>
    </border>
    <border>
      <left style="thin">
        <color theme="1" tint="0.499984740745262"/>
      </left>
      <right/>
      <top style="medium">
        <color indexed="64"/>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style="thin">
        <color rgb="FF0D0D0D"/>
      </left>
      <right style="thin">
        <color rgb="FF0D0D0D"/>
      </right>
      <top style="thin">
        <color rgb="FF0D0D0D"/>
      </top>
      <bottom style="thin">
        <color rgb="FF0D0D0D"/>
      </bottom>
      <diagonal/>
    </border>
    <border>
      <left style="thin">
        <color theme="1" tint="0.499984740745262"/>
      </left>
      <right/>
      <top style="thin">
        <color theme="1" tint="0.499984740745262"/>
      </top>
      <bottom style="medium">
        <color indexed="64"/>
      </bottom>
      <diagonal/>
    </border>
    <border>
      <left style="thin">
        <color theme="1" tint="0.499984740745262"/>
      </left>
      <right style="thin">
        <color theme="1" tint="0.499984740745262"/>
      </right>
      <top style="thin">
        <color theme="1" tint="0.499984740745262"/>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theme="1" tint="0.499984740745262"/>
      </left>
      <right/>
      <top/>
      <bottom style="thin">
        <color theme="1" tint="0.499984740745262"/>
      </bottom>
      <diagonal/>
    </border>
    <border>
      <left style="thin">
        <color rgb="FF595959"/>
      </left>
      <right style="thin">
        <color rgb="FF595959"/>
      </right>
      <top style="thin">
        <color rgb="FF595959"/>
      </top>
      <bottom/>
      <diagonal/>
    </border>
    <border>
      <left style="thin">
        <color rgb="FF595959"/>
      </left>
      <right/>
      <top style="thin">
        <color rgb="FF595959"/>
      </top>
      <bottom/>
      <diagonal/>
    </border>
    <border>
      <left style="medium">
        <color indexed="64"/>
      </left>
      <right style="thin">
        <color rgb="FF595959"/>
      </right>
      <top style="medium">
        <color indexed="64"/>
      </top>
      <bottom/>
      <diagonal/>
    </border>
    <border>
      <left/>
      <right style="thin">
        <color rgb="FF595959"/>
      </right>
      <top style="medium">
        <color indexed="64"/>
      </top>
      <bottom/>
      <diagonal/>
    </border>
    <border>
      <left/>
      <right style="medium">
        <color indexed="64"/>
      </right>
      <top style="medium">
        <color indexed="64"/>
      </top>
      <bottom/>
      <diagonal/>
    </border>
    <border>
      <left/>
      <right style="thin">
        <color rgb="FF595959"/>
      </right>
      <top style="thin">
        <color rgb="FF595959"/>
      </top>
      <bottom/>
      <diagonal/>
    </border>
    <border>
      <left style="thin">
        <color rgb="FF595959"/>
      </left>
      <right style="thin">
        <color rgb="FF595959"/>
      </right>
      <top/>
      <bottom/>
      <diagonal/>
    </border>
    <border>
      <left style="medium">
        <color indexed="64"/>
      </left>
      <right style="thin">
        <color rgb="FF595959"/>
      </right>
      <top/>
      <bottom/>
      <diagonal/>
    </border>
    <border>
      <left/>
      <right style="thin">
        <color rgb="FF595959"/>
      </right>
      <top/>
      <bottom/>
      <diagonal/>
    </border>
    <border>
      <left style="thin">
        <color rgb="FF595959"/>
      </left>
      <right/>
      <top/>
      <bottom/>
      <diagonal/>
    </border>
    <border>
      <left/>
      <right style="medium">
        <color indexed="64"/>
      </right>
      <top/>
      <bottom/>
      <diagonal/>
    </border>
  </borders>
  <cellStyleXfs count="56">
    <xf numFmtId="0" fontId="0" fillId="0" borderId="0"/>
    <xf numFmtId="0" fontId="2" fillId="0" borderId="0"/>
    <xf numFmtId="9" fontId="3" fillId="0" borderId="0" applyFont="0" applyFill="0" applyBorder="0" applyAlignment="0" applyProtection="0"/>
    <xf numFmtId="0" fontId="8" fillId="0" borderId="0" applyNumberFormat="0" applyFill="0" applyBorder="0" applyAlignment="0" applyProtection="0"/>
    <xf numFmtId="0" fontId="11" fillId="0" borderId="0"/>
    <xf numFmtId="0" fontId="18" fillId="0" borderId="0" applyNumberFormat="0" applyFill="0" applyBorder="0" applyAlignment="0" applyProtection="0"/>
    <xf numFmtId="43" fontId="3" fillId="0" borderId="0" applyFont="0" applyFill="0" applyBorder="0" applyAlignment="0" applyProtection="0"/>
    <xf numFmtId="0" fontId="3" fillId="0" borderId="0"/>
    <xf numFmtId="9" fontId="11" fillId="0" borderId="0" applyFont="0" applyFill="0" applyBorder="0" applyAlignment="0" applyProtection="0"/>
    <xf numFmtId="0" fontId="30" fillId="0" borderId="0"/>
    <xf numFmtId="0" fontId="32" fillId="0" borderId="0" applyNumberFormat="0" applyFill="0" applyBorder="0" applyAlignment="0" applyProtection="0"/>
    <xf numFmtId="0" fontId="11" fillId="0" borderId="0"/>
    <xf numFmtId="0" fontId="11" fillId="0" borderId="0"/>
    <xf numFmtId="0" fontId="54" fillId="0" borderId="35" applyNumberFormat="0" applyFill="0" applyAlignment="0" applyProtection="0"/>
    <xf numFmtId="0" fontId="55" fillId="0" borderId="36" applyNumberFormat="0" applyFill="0" applyAlignment="0" applyProtection="0"/>
    <xf numFmtId="0" fontId="56" fillId="0" borderId="37" applyNumberFormat="0" applyFill="0" applyAlignment="0" applyProtection="0"/>
    <xf numFmtId="0" fontId="56" fillId="0" borderId="0" applyNumberFormat="0" applyFill="0" applyBorder="0" applyAlignment="0" applyProtection="0"/>
    <xf numFmtId="0" fontId="57" fillId="29" borderId="0" applyNumberFormat="0" applyBorder="0" applyAlignment="0" applyProtection="0"/>
    <xf numFmtId="0" fontId="58" fillId="30" borderId="0" applyNumberFormat="0" applyBorder="0" applyAlignment="0" applyProtection="0"/>
    <xf numFmtId="0" fontId="59" fillId="32" borderId="38" applyNumberFormat="0" applyAlignment="0" applyProtection="0"/>
    <xf numFmtId="0" fontId="60" fillId="33" borderId="39" applyNumberFormat="0" applyAlignment="0" applyProtection="0"/>
    <xf numFmtId="0" fontId="61" fillId="33" borderId="38" applyNumberFormat="0" applyAlignment="0" applyProtection="0"/>
    <xf numFmtId="0" fontId="62" fillId="0" borderId="40" applyNumberFormat="0" applyFill="0" applyAlignment="0" applyProtection="0"/>
    <xf numFmtId="0" fontId="19" fillId="34" borderId="41" applyNumberFormat="0" applyAlignment="0" applyProtection="0"/>
    <xf numFmtId="0" fontId="63" fillId="0" borderId="0" applyNumberFormat="0" applyFill="0" applyBorder="0" applyAlignment="0" applyProtection="0"/>
    <xf numFmtId="0" fontId="3" fillId="35" borderId="42" applyNumberFormat="0" applyFont="0" applyAlignment="0" applyProtection="0"/>
    <xf numFmtId="0" fontId="64" fillId="0" borderId="0" applyNumberFormat="0" applyFill="0" applyBorder="0" applyAlignment="0" applyProtection="0"/>
    <xf numFmtId="0" fontId="4" fillId="0" borderId="43" applyNumberFormat="0" applyFill="0" applyAlignment="0" applyProtection="0"/>
    <xf numFmtId="0" fontId="27"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27" fillId="40" borderId="0" applyNumberFormat="0" applyBorder="0" applyAlignment="0" applyProtection="0"/>
    <xf numFmtId="0" fontId="3" fillId="41" borderId="0" applyNumberFormat="0" applyBorder="0" applyAlignment="0" applyProtection="0"/>
    <xf numFmtId="0" fontId="3" fillId="42" borderId="0" applyNumberFormat="0" applyBorder="0" applyAlignment="0" applyProtection="0"/>
    <xf numFmtId="0" fontId="27" fillId="44" borderId="0" applyNumberFormat="0" applyBorder="0" applyAlignment="0" applyProtection="0"/>
    <xf numFmtId="0" fontId="3" fillId="45" borderId="0" applyNumberFormat="0" applyBorder="0" applyAlignment="0" applyProtection="0"/>
    <xf numFmtId="0" fontId="3" fillId="46" borderId="0" applyNumberFormat="0" applyBorder="0" applyAlignment="0" applyProtection="0"/>
    <xf numFmtId="0" fontId="27" fillId="48" borderId="0" applyNumberFormat="0" applyBorder="0" applyAlignment="0" applyProtection="0"/>
    <xf numFmtId="0" fontId="3" fillId="49" borderId="0" applyNumberFormat="0" applyBorder="0" applyAlignment="0" applyProtection="0"/>
    <xf numFmtId="0" fontId="3" fillId="50" borderId="0" applyNumberFormat="0" applyBorder="0" applyAlignment="0" applyProtection="0"/>
    <xf numFmtId="0" fontId="27" fillId="52" borderId="0" applyNumberFormat="0" applyBorder="0" applyAlignment="0" applyProtection="0"/>
    <xf numFmtId="0" fontId="3" fillId="53" borderId="0" applyNumberFormat="0" applyBorder="0" applyAlignment="0" applyProtection="0"/>
    <xf numFmtId="0" fontId="3" fillId="54" borderId="0" applyNumberFormat="0" applyBorder="0" applyAlignment="0" applyProtection="0"/>
    <xf numFmtId="0" fontId="27" fillId="56"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65" fillId="0" borderId="0" applyNumberFormat="0" applyFill="0" applyBorder="0" applyAlignment="0" applyProtection="0"/>
    <xf numFmtId="0" fontId="66" fillId="31" borderId="0" applyNumberFormat="0" applyBorder="0" applyAlignment="0" applyProtection="0"/>
    <xf numFmtId="0" fontId="27" fillId="39" borderId="0" applyNumberFormat="0" applyBorder="0" applyAlignment="0" applyProtection="0"/>
    <xf numFmtId="0" fontId="27" fillId="43" borderId="0" applyNumberFormat="0" applyBorder="0" applyAlignment="0" applyProtection="0"/>
    <xf numFmtId="0" fontId="27" fillId="47" borderId="0" applyNumberFormat="0" applyBorder="0" applyAlignment="0" applyProtection="0"/>
    <xf numFmtId="0" fontId="27" fillId="51" borderId="0" applyNumberFormat="0" applyBorder="0" applyAlignment="0" applyProtection="0"/>
    <xf numFmtId="0" fontId="27" fillId="55" borderId="0" applyNumberFormat="0" applyBorder="0" applyAlignment="0" applyProtection="0"/>
    <xf numFmtId="0" fontId="27" fillId="59" borderId="0" applyNumberFormat="0" applyBorder="0" applyAlignment="0" applyProtection="0"/>
    <xf numFmtId="0" fontId="3" fillId="0" borderId="0"/>
    <xf numFmtId="0" fontId="28" fillId="0" borderId="0"/>
  </cellStyleXfs>
  <cellXfs count="612">
    <xf numFmtId="0" fontId="0" fillId="0" borderId="0" xfId="0"/>
    <xf numFmtId="0" fontId="0" fillId="0" borderId="0" xfId="0" applyAlignment="1">
      <alignment horizontal="center"/>
    </xf>
    <xf numFmtId="0" fontId="0" fillId="0" borderId="0" xfId="0" applyAlignment="1">
      <alignment wrapText="1"/>
    </xf>
    <xf numFmtId="0" fontId="0" fillId="0" borderId="0" xfId="0" applyAlignment="1">
      <alignment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9" fontId="0" fillId="0" borderId="1" xfId="2" applyFont="1" applyBorder="1"/>
    <xf numFmtId="0" fontId="0" fillId="0" borderId="1" xfId="0" applyBorder="1"/>
    <xf numFmtId="9" fontId="0" fillId="0" borderId="1" xfId="2" applyFont="1" applyBorder="1" applyAlignment="1">
      <alignment horizontal="center"/>
    </xf>
    <xf numFmtId="9" fontId="0" fillId="4" borderId="1" xfId="2" applyFont="1" applyFill="1" applyBorder="1" applyAlignment="1">
      <alignment horizontal="center"/>
    </xf>
    <xf numFmtId="9" fontId="0" fillId="4" borderId="1" xfId="2" applyFont="1" applyFill="1" applyBorder="1"/>
    <xf numFmtId="0" fontId="4" fillId="3" borderId="1" xfId="0" applyFont="1" applyFill="1" applyBorder="1" applyAlignment="1">
      <alignment horizontal="center" wrapText="1"/>
    </xf>
    <xf numFmtId="0" fontId="0" fillId="0" borderId="1" xfId="0" applyBorder="1" applyAlignment="1">
      <alignment vertical="center"/>
    </xf>
    <xf numFmtId="164" fontId="0" fillId="0" borderId="1" xfId="2" applyNumberFormat="1" applyFont="1" applyBorder="1" applyAlignment="1">
      <alignment horizontal="center"/>
    </xf>
    <xf numFmtId="9" fontId="0" fillId="5" borderId="1" xfId="2" applyFont="1" applyFill="1" applyBorder="1"/>
    <xf numFmtId="0" fontId="0" fillId="5" borderId="1" xfId="0" applyFill="1" applyBorder="1"/>
    <xf numFmtId="164" fontId="0" fillId="5" borderId="1" xfId="2" applyNumberFormat="1" applyFont="1" applyFill="1" applyBorder="1" applyAlignment="1">
      <alignment horizontal="center"/>
    </xf>
    <xf numFmtId="9" fontId="0" fillId="0" borderId="1" xfId="2" applyFont="1" applyFill="1" applyBorder="1"/>
    <xf numFmtId="164" fontId="0" fillId="0" borderId="1" xfId="2" applyNumberFormat="1" applyFont="1" applyFill="1" applyBorder="1" applyAlignment="1">
      <alignment horizontal="center"/>
    </xf>
    <xf numFmtId="11" fontId="0" fillId="0" borderId="0" xfId="0" applyNumberFormat="1"/>
    <xf numFmtId="0" fontId="4" fillId="2" borderId="1" xfId="0" applyFont="1" applyFill="1" applyBorder="1" applyAlignment="1">
      <alignment horizontal="left" vertical="center" wrapText="1"/>
    </xf>
    <xf numFmtId="164" fontId="0" fillId="0" borderId="0" xfId="2" applyNumberFormat="1" applyFont="1" applyFill="1" applyBorder="1" applyAlignment="1">
      <alignment horizontal="center"/>
    </xf>
    <xf numFmtId="0" fontId="4" fillId="0" borderId="0" xfId="0" applyFont="1" applyAlignment="1">
      <alignment horizontal="left" vertical="center" wrapText="1"/>
    </xf>
    <xf numFmtId="9" fontId="0" fillId="0" borderId="0" xfId="2" applyFont="1" applyBorder="1"/>
    <xf numFmtId="9" fontId="0" fillId="0" borderId="0" xfId="2" applyFont="1" applyFill="1" applyBorder="1"/>
    <xf numFmtId="0" fontId="11" fillId="0" borderId="0" xfId="4"/>
    <xf numFmtId="0" fontId="12" fillId="0" borderId="0" xfId="4" applyFont="1"/>
    <xf numFmtId="0" fontId="14" fillId="0" borderId="0" xfId="4" applyFont="1"/>
    <xf numFmtId="0" fontId="15" fillId="7" borderId="0" xfId="4" applyFont="1" applyFill="1"/>
    <xf numFmtId="0" fontId="17" fillId="9" borderId="1" xfId="4" applyFont="1" applyFill="1" applyBorder="1" applyAlignment="1">
      <alignment horizontal="center"/>
    </xf>
    <xf numFmtId="0" fontId="17" fillId="9" borderId="8" xfId="4" applyFont="1" applyFill="1" applyBorder="1" applyAlignment="1">
      <alignment horizontal="center"/>
    </xf>
    <xf numFmtId="10" fontId="11" fillId="0" borderId="9" xfId="4" applyNumberFormat="1" applyBorder="1" applyAlignment="1">
      <alignment horizontal="center"/>
    </xf>
    <xf numFmtId="10" fontId="11" fillId="0" borderId="10" xfId="4" applyNumberFormat="1" applyBorder="1" applyAlignment="1">
      <alignment horizontal="center"/>
    </xf>
    <xf numFmtId="10" fontId="11" fillId="0" borderId="11" xfId="4" applyNumberFormat="1" applyBorder="1" applyAlignment="1">
      <alignment horizontal="center"/>
    </xf>
    <xf numFmtId="0" fontId="17" fillId="9" borderId="12" xfId="4" applyFont="1" applyFill="1" applyBorder="1" applyAlignment="1">
      <alignment horizontal="center"/>
    </xf>
    <xf numFmtId="10" fontId="11" fillId="0" borderId="13" xfId="4" applyNumberFormat="1" applyBorder="1" applyAlignment="1">
      <alignment horizontal="center"/>
    </xf>
    <xf numFmtId="10" fontId="11" fillId="0" borderId="0" xfId="4" applyNumberFormat="1" applyAlignment="1">
      <alignment horizontal="center"/>
    </xf>
    <xf numFmtId="10" fontId="11" fillId="0" borderId="14" xfId="4" applyNumberFormat="1" applyBorder="1" applyAlignment="1">
      <alignment horizontal="center"/>
    </xf>
    <xf numFmtId="0" fontId="17" fillId="9" borderId="15" xfId="4" applyFont="1" applyFill="1" applyBorder="1" applyAlignment="1">
      <alignment horizontal="center"/>
    </xf>
    <xf numFmtId="10" fontId="11" fillId="0" borderId="16" xfId="4" applyNumberFormat="1" applyBorder="1" applyAlignment="1">
      <alignment horizontal="center"/>
    </xf>
    <xf numFmtId="10" fontId="11" fillId="0" borderId="17" xfId="4" applyNumberFormat="1" applyBorder="1" applyAlignment="1">
      <alignment horizontal="center"/>
    </xf>
    <xf numFmtId="10" fontId="11" fillId="0" borderId="18" xfId="4" applyNumberFormat="1" applyBorder="1" applyAlignment="1">
      <alignment horizontal="center"/>
    </xf>
    <xf numFmtId="0" fontId="17" fillId="0" borderId="1" xfId="4" applyFont="1" applyBorder="1" applyAlignment="1">
      <alignment horizontal="center"/>
    </xf>
    <xf numFmtId="10" fontId="17" fillId="0" borderId="1" xfId="4" applyNumberFormat="1" applyFont="1" applyBorder="1" applyAlignment="1">
      <alignment horizontal="center"/>
    </xf>
    <xf numFmtId="164" fontId="0" fillId="0" borderId="0" xfId="0" applyNumberFormat="1"/>
    <xf numFmtId="0" fontId="4" fillId="3" borderId="0" xfId="0" applyFont="1" applyFill="1" applyAlignment="1">
      <alignment horizontal="left" vertical="center" wrapText="1"/>
    </xf>
    <xf numFmtId="164" fontId="0" fillId="0" borderId="0" xfId="2" applyNumberFormat="1" applyFont="1" applyBorder="1" applyAlignment="1">
      <alignment horizontal="center"/>
    </xf>
    <xf numFmtId="9" fontId="0" fillId="0" borderId="0" xfId="2" applyFont="1" applyAlignment="1">
      <alignment horizontal="left"/>
    </xf>
    <xf numFmtId="9" fontId="4" fillId="0" borderId="0" xfId="2" applyFont="1" applyFill="1" applyBorder="1"/>
    <xf numFmtId="3" fontId="20" fillId="0" borderId="0" xfId="6" applyNumberFormat="1" applyFont="1" applyFill="1" applyBorder="1" applyAlignment="1">
      <alignment horizontal="center"/>
    </xf>
    <xf numFmtId="3" fontId="0" fillId="0" borderId="1" xfId="0" applyNumberFormat="1" applyBorder="1"/>
    <xf numFmtId="0" fontId="19" fillId="0" borderId="0" xfId="0" applyFont="1" applyAlignment="1">
      <alignment horizontal="left" vertical="center" wrapText="1"/>
    </xf>
    <xf numFmtId="9" fontId="0" fillId="0" borderId="1" xfId="0" applyNumberFormat="1" applyBorder="1" applyAlignment="1">
      <alignment horizontal="center"/>
    </xf>
    <xf numFmtId="0" fontId="10" fillId="0" borderId="0" xfId="0" applyFont="1" applyAlignment="1">
      <alignment horizontal="left"/>
    </xf>
    <xf numFmtId="0" fontId="4" fillId="8" borderId="1" xfId="0" applyFont="1" applyFill="1" applyBorder="1" applyAlignment="1">
      <alignment horizontal="center" vertical="center"/>
    </xf>
    <xf numFmtId="0" fontId="19" fillId="7" borderId="0" xfId="0" applyFont="1" applyFill="1" applyAlignment="1">
      <alignment wrapText="1"/>
    </xf>
    <xf numFmtId="9" fontId="0" fillId="7" borderId="0" xfId="0" applyNumberFormat="1" applyFill="1" applyAlignment="1">
      <alignment horizontal="center"/>
    </xf>
    <xf numFmtId="0" fontId="23" fillId="0" borderId="10" xfId="0" applyFont="1" applyBorder="1" applyAlignment="1">
      <alignment horizontal="center" vertical="center" wrapText="1"/>
    </xf>
    <xf numFmtId="0" fontId="25" fillId="12" borderId="1" xfId="0" applyFont="1" applyFill="1" applyBorder="1" applyAlignment="1">
      <alignment wrapText="1"/>
    </xf>
    <xf numFmtId="9" fontId="0" fillId="0" borderId="0" xfId="2" applyFont="1" applyBorder="1" applyAlignment="1">
      <alignment horizontal="left"/>
    </xf>
    <xf numFmtId="9" fontId="0" fillId="0" borderId="17" xfId="2" applyFont="1" applyFill="1" applyBorder="1"/>
    <xf numFmtId="9" fontId="0" fillId="0" borderId="17" xfId="2" applyFont="1" applyBorder="1" applyAlignment="1">
      <alignment horizontal="left"/>
    </xf>
    <xf numFmtId="0" fontId="4" fillId="3" borderId="17" xfId="0" applyFont="1" applyFill="1" applyBorder="1" applyAlignment="1">
      <alignment horizontal="left" vertical="center" wrapText="1"/>
    </xf>
    <xf numFmtId="0" fontId="17" fillId="9" borderId="17" xfId="4" applyFont="1" applyFill="1" applyBorder="1" applyAlignment="1">
      <alignment horizontal="center"/>
    </xf>
    <xf numFmtId="164" fontId="0" fillId="0" borderId="0" xfId="2" applyNumberFormat="1" applyFont="1"/>
    <xf numFmtId="2" fontId="0" fillId="0" borderId="0" xfId="0" applyNumberFormat="1"/>
    <xf numFmtId="9" fontId="0" fillId="16" borderId="1" xfId="2" applyFont="1" applyFill="1" applyBorder="1" applyAlignment="1">
      <alignment horizontal="center"/>
    </xf>
    <xf numFmtId="0" fontId="25" fillId="17" borderId="1" xfId="0" applyFont="1" applyFill="1" applyBorder="1" applyAlignment="1">
      <alignment wrapText="1"/>
    </xf>
    <xf numFmtId="0" fontId="24" fillId="0" borderId="0" xfId="0" applyFont="1" applyAlignment="1">
      <alignment horizontal="center" vertical="center" wrapText="1"/>
    </xf>
    <xf numFmtId="0" fontId="4" fillId="0" borderId="0" xfId="0" applyFont="1" applyAlignment="1">
      <alignment horizontal="center" vertical="center"/>
    </xf>
    <xf numFmtId="0" fontId="24" fillId="10" borderId="2" xfId="0" applyFont="1" applyFill="1" applyBorder="1" applyAlignment="1">
      <alignment horizontal="center" vertical="center" wrapText="1"/>
    </xf>
    <xf numFmtId="0" fontId="25" fillId="10" borderId="1" xfId="0" applyFont="1" applyFill="1" applyBorder="1" applyAlignment="1">
      <alignment wrapText="1"/>
    </xf>
    <xf numFmtId="9" fontId="0" fillId="10" borderId="1" xfId="2" applyFont="1" applyFill="1" applyBorder="1" applyAlignment="1">
      <alignment horizontal="center"/>
    </xf>
    <xf numFmtId="0" fontId="0" fillId="10" borderId="0" xfId="0" applyFill="1"/>
    <xf numFmtId="0" fontId="17" fillId="13" borderId="1" xfId="4" applyFont="1" applyFill="1" applyBorder="1" applyAlignment="1">
      <alignment horizontal="center"/>
    </xf>
    <xf numFmtId="10" fontId="11" fillId="13" borderId="10" xfId="4" applyNumberFormat="1" applyFill="1" applyBorder="1" applyAlignment="1">
      <alignment horizontal="center"/>
    </xf>
    <xf numFmtId="10" fontId="11" fillId="13" borderId="0" xfId="4" applyNumberFormat="1" applyFill="1" applyAlignment="1">
      <alignment horizontal="center"/>
    </xf>
    <xf numFmtId="10" fontId="11" fillId="13" borderId="17" xfId="4" applyNumberFormat="1" applyFill="1" applyBorder="1" applyAlignment="1">
      <alignment horizontal="center"/>
    </xf>
    <xf numFmtId="164" fontId="0" fillId="13" borderId="0" xfId="2" applyNumberFormat="1" applyFont="1" applyFill="1" applyBorder="1" applyAlignment="1">
      <alignment horizontal="center"/>
    </xf>
    <xf numFmtId="0" fontId="17" fillId="20" borderId="12" xfId="4" applyFont="1" applyFill="1" applyBorder="1" applyAlignment="1">
      <alignment horizontal="center"/>
    </xf>
    <xf numFmtId="10" fontId="11" fillId="20" borderId="13" xfId="4" applyNumberFormat="1" applyFill="1" applyBorder="1" applyAlignment="1">
      <alignment horizontal="center"/>
    </xf>
    <xf numFmtId="10" fontId="11" fillId="20" borderId="0" xfId="4" applyNumberFormat="1" applyFill="1" applyAlignment="1">
      <alignment horizontal="center"/>
    </xf>
    <xf numFmtId="10" fontId="11" fillId="20" borderId="14" xfId="4" applyNumberFormat="1" applyFill="1" applyBorder="1" applyAlignment="1">
      <alignment horizontal="center"/>
    </xf>
    <xf numFmtId="9" fontId="0" fillId="0" borderId="0" xfId="0" applyNumberFormat="1" applyAlignment="1">
      <alignment horizontal="center"/>
    </xf>
    <xf numFmtId="9" fontId="0" fillId="13" borderId="1" xfId="0" applyNumberFormat="1" applyFill="1" applyBorder="1" applyAlignment="1">
      <alignment horizontal="center"/>
    </xf>
    <xf numFmtId="0" fontId="0" fillId="21" borderId="1" xfId="0" applyFill="1" applyBorder="1" applyAlignment="1">
      <alignment horizontal="center"/>
    </xf>
    <xf numFmtId="164" fontId="0" fillId="7" borderId="1" xfId="2" applyNumberFormat="1" applyFont="1" applyFill="1" applyBorder="1" applyAlignment="1">
      <alignment horizontal="center"/>
    </xf>
    <xf numFmtId="164" fontId="0" fillId="19" borderId="1" xfId="2" applyNumberFormat="1" applyFont="1" applyFill="1" applyBorder="1" applyAlignment="1">
      <alignment horizontal="center"/>
    </xf>
    <xf numFmtId="0" fontId="4" fillId="0" borderId="0" xfId="0" applyFont="1"/>
    <xf numFmtId="0" fontId="0" fillId="0" borderId="0" xfId="0" applyAlignment="1">
      <alignment horizontal="left"/>
    </xf>
    <xf numFmtId="0" fontId="30" fillId="0" borderId="0" xfId="0" applyFont="1" applyAlignment="1">
      <alignment horizontal="left"/>
    </xf>
    <xf numFmtId="0" fontId="30" fillId="0" borderId="1" xfId="0" applyFont="1" applyBorder="1" applyAlignment="1">
      <alignment horizontal="left"/>
    </xf>
    <xf numFmtId="0" fontId="0" fillId="0" borderId="1" xfId="0" applyBorder="1" applyAlignment="1">
      <alignment horizontal="center"/>
    </xf>
    <xf numFmtId="0" fontId="0" fillId="0" borderId="0" xfId="0" applyAlignment="1">
      <alignment horizontal="center" vertical="center"/>
    </xf>
    <xf numFmtId="0" fontId="35" fillId="24" borderId="0" xfId="0" applyFont="1" applyFill="1"/>
    <xf numFmtId="0" fontId="27" fillId="24" borderId="0" xfId="0" applyFont="1" applyFill="1"/>
    <xf numFmtId="0" fontId="21" fillId="0" borderId="0" xfId="0" applyFont="1" applyAlignment="1">
      <alignment horizontal="center"/>
    </xf>
    <xf numFmtId="9" fontId="0" fillId="0" borderId="0" xfId="0" applyNumberFormat="1"/>
    <xf numFmtId="10" fontId="0" fillId="0" borderId="0" xfId="8" applyNumberFormat="1" applyFont="1" applyBorder="1" applyAlignment="1">
      <alignment horizontal="center"/>
    </xf>
    <xf numFmtId="0" fontId="35" fillId="0" borderId="0" xfId="0" applyFont="1"/>
    <xf numFmtId="0" fontId="27" fillId="0" borderId="0" xfId="0" applyFont="1"/>
    <xf numFmtId="3" fontId="34" fillId="0" borderId="1" xfId="4" applyNumberFormat="1" applyFont="1" applyBorder="1" applyAlignment="1">
      <alignment horizontal="center"/>
    </xf>
    <xf numFmtId="166" fontId="34" fillId="0" borderId="1" xfId="4" applyNumberFormat="1" applyFont="1" applyBorder="1" applyAlignment="1">
      <alignment horizontal="center"/>
    </xf>
    <xf numFmtId="0" fontId="23" fillId="0" borderId="0" xfId="0" applyFont="1" applyAlignment="1">
      <alignment vertical="top"/>
    </xf>
    <xf numFmtId="0" fontId="36" fillId="0" borderId="0" xfId="4" applyFont="1" applyAlignment="1">
      <alignment horizontal="left" vertical="center"/>
    </xf>
    <xf numFmtId="0" fontId="34" fillId="0" borderId="0" xfId="4" applyFont="1"/>
    <xf numFmtId="167" fontId="0" fillId="0" borderId="0" xfId="0" applyNumberFormat="1"/>
    <xf numFmtId="0" fontId="0" fillId="22" borderId="0" xfId="0" applyFill="1"/>
    <xf numFmtId="0" fontId="0" fillId="6" borderId="0" xfId="0" applyFill="1"/>
    <xf numFmtId="165" fontId="0" fillId="0" borderId="1" xfId="0" applyNumberFormat="1" applyBorder="1"/>
    <xf numFmtId="10" fontId="27" fillId="0" borderId="0" xfId="8" applyNumberFormat="1" applyFont="1" applyBorder="1" applyAlignment="1">
      <alignment horizontal="center"/>
    </xf>
    <xf numFmtId="164" fontId="27" fillId="0" borderId="0" xfId="8" applyNumberFormat="1" applyFont="1" applyBorder="1" applyAlignment="1">
      <alignment horizontal="center"/>
    </xf>
    <xf numFmtId="0" fontId="4" fillId="0" borderId="0" xfId="0" applyFont="1" applyAlignment="1">
      <alignment vertical="top"/>
    </xf>
    <xf numFmtId="1" fontId="30" fillId="0" borderId="0" xfId="4" applyNumberFormat="1" applyFont="1" applyAlignment="1">
      <alignment horizontal="left"/>
    </xf>
    <xf numFmtId="0" fontId="30" fillId="0" borderId="0" xfId="4" applyFont="1" applyAlignment="1">
      <alignment horizontal="left"/>
    </xf>
    <xf numFmtId="0" fontId="0" fillId="0" borderId="0" xfId="4" applyFont="1" applyAlignment="1">
      <alignment horizontal="left"/>
    </xf>
    <xf numFmtId="164" fontId="0" fillId="0" borderId="0" xfId="8" applyNumberFormat="1" applyFont="1" applyFill="1" applyBorder="1" applyAlignment="1">
      <alignment horizontal="center"/>
    </xf>
    <xf numFmtId="0" fontId="30" fillId="21" borderId="6" xfId="4" applyFont="1" applyFill="1" applyBorder="1" applyAlignment="1">
      <alignment horizontal="left" vertical="center" wrapText="1"/>
    </xf>
    <xf numFmtId="0" fontId="30" fillId="21" borderId="6" xfId="4" applyFont="1" applyFill="1" applyBorder="1" applyAlignment="1">
      <alignment horizontal="left" vertical="center"/>
    </xf>
    <xf numFmtId="0" fontId="33" fillId="21" borderId="6" xfId="4" applyFont="1" applyFill="1" applyBorder="1" applyAlignment="1">
      <alignment horizontal="center" vertical="center" wrapText="1"/>
    </xf>
    <xf numFmtId="164" fontId="0" fillId="0" borderId="0" xfId="8" applyNumberFormat="1" applyFont="1" applyBorder="1" applyAlignment="1">
      <alignment horizontal="center"/>
    </xf>
    <xf numFmtId="164" fontId="0" fillId="13" borderId="0" xfId="8" applyNumberFormat="1" applyFont="1" applyFill="1" applyBorder="1" applyAlignment="1">
      <alignment horizontal="center"/>
    </xf>
    <xf numFmtId="164" fontId="0" fillId="16" borderId="0" xfId="8" applyNumberFormat="1" applyFont="1" applyFill="1" applyBorder="1" applyAlignment="1">
      <alignment horizontal="center"/>
    </xf>
    <xf numFmtId="164" fontId="0" fillId="4" borderId="0" xfId="8" applyNumberFormat="1" applyFont="1" applyFill="1" applyBorder="1" applyAlignment="1">
      <alignment horizontal="center"/>
    </xf>
    <xf numFmtId="0" fontId="33" fillId="21" borderId="6" xfId="4" applyFont="1" applyFill="1" applyBorder="1" applyAlignment="1">
      <alignment horizontal="left" vertical="center" wrapText="1"/>
    </xf>
    <xf numFmtId="0" fontId="33" fillId="21" borderId="6" xfId="4" applyFont="1" applyFill="1" applyBorder="1" applyAlignment="1">
      <alignment horizontal="left" vertical="center"/>
    </xf>
    <xf numFmtId="0" fontId="38" fillId="21" borderId="6" xfId="4" applyFont="1" applyFill="1" applyBorder="1" applyAlignment="1">
      <alignment horizontal="center" vertical="center" wrapText="1"/>
    </xf>
    <xf numFmtId="0" fontId="38" fillId="23" borderId="6" xfId="4" applyFont="1" applyFill="1" applyBorder="1" applyAlignment="1">
      <alignment horizontal="center" vertical="center" wrapText="1"/>
    </xf>
    <xf numFmtId="0" fontId="0" fillId="26" borderId="0" xfId="0" applyFill="1"/>
    <xf numFmtId="0" fontId="0" fillId="25" borderId="0" xfId="0" applyFill="1" applyAlignment="1">
      <alignment vertical="center"/>
    </xf>
    <xf numFmtId="0" fontId="21" fillId="0" borderId="0" xfId="0" applyFont="1" applyAlignment="1">
      <alignment horizontal="center" vertical="center"/>
    </xf>
    <xf numFmtId="165" fontId="0" fillId="0" borderId="0" xfId="0" applyNumberFormat="1" applyAlignment="1">
      <alignment horizontal="center"/>
    </xf>
    <xf numFmtId="165" fontId="0" fillId="0" borderId="1" xfId="0" applyNumberFormat="1" applyBorder="1" applyAlignment="1">
      <alignment horizontal="center" vertical="center" wrapText="1"/>
    </xf>
    <xf numFmtId="0" fontId="30" fillId="0" borderId="1" xfId="0" applyFont="1" applyBorder="1" applyAlignment="1">
      <alignment horizontal="left" vertical="center" wrapText="1"/>
    </xf>
    <xf numFmtId="0" fontId="12" fillId="0" borderId="0" xfId="0" applyFont="1" applyAlignment="1">
      <alignment horizontal="center"/>
    </xf>
    <xf numFmtId="0" fontId="0" fillId="0" borderId="1" xfId="0" applyBorder="1" applyAlignment="1">
      <alignment horizontal="center" vertical="center"/>
    </xf>
    <xf numFmtId="0" fontId="1" fillId="2" borderId="0" xfId="0" applyFont="1" applyFill="1"/>
    <xf numFmtId="9" fontId="0" fillId="0" borderId="0" xfId="2" applyFont="1"/>
    <xf numFmtId="0" fontId="1" fillId="0" borderId="0" xfId="0" applyFont="1" applyAlignment="1">
      <alignment horizontal="center" vertical="center"/>
    </xf>
    <xf numFmtId="0" fontId="1" fillId="2" borderId="0" xfId="0" applyFont="1" applyFill="1" applyAlignment="1">
      <alignment wrapText="1"/>
    </xf>
    <xf numFmtId="0" fontId="1" fillId="2" borderId="0" xfId="0" applyFont="1" applyFill="1" applyAlignment="1">
      <alignment horizontal="left"/>
    </xf>
    <xf numFmtId="0" fontId="1" fillId="2" borderId="0" xfId="0" applyFont="1" applyFill="1" applyAlignment="1">
      <alignment horizontal="center"/>
    </xf>
    <xf numFmtId="0" fontId="0" fillId="20" borderId="1" xfId="0" applyFill="1" applyBorder="1" applyAlignment="1">
      <alignment horizontal="center" vertical="center"/>
    </xf>
    <xf numFmtId="16" fontId="0" fillId="0" borderId="1" xfId="0" applyNumberFormat="1" applyBorder="1" applyAlignment="1">
      <alignment horizontal="center" vertical="center"/>
    </xf>
    <xf numFmtId="3" fontId="0" fillId="0" borderId="0" xfId="0" applyNumberFormat="1" applyAlignment="1">
      <alignment horizontal="center" vertical="center"/>
    </xf>
    <xf numFmtId="0" fontId="23" fillId="0" borderId="0" xfId="0" applyFont="1" applyAlignment="1">
      <alignment horizontal="center" vertical="center"/>
    </xf>
    <xf numFmtId="3" fontId="1" fillId="0" borderId="0" xfId="0" applyNumberFormat="1" applyFont="1" applyAlignment="1">
      <alignment vertical="center"/>
    </xf>
    <xf numFmtId="0" fontId="4" fillId="20" borderId="13" xfId="0" applyFont="1" applyFill="1" applyBorder="1" applyAlignment="1">
      <alignment vertical="center"/>
    </xf>
    <xf numFmtId="0" fontId="4" fillId="20" borderId="0" xfId="0" applyFont="1" applyFill="1" applyAlignment="1">
      <alignment vertical="center"/>
    </xf>
    <xf numFmtId="3" fontId="4" fillId="0" borderId="0" xfId="0" applyNumberFormat="1" applyFont="1" applyAlignment="1">
      <alignment horizontal="center" vertical="center"/>
    </xf>
    <xf numFmtId="3" fontId="39" fillId="0" borderId="0" xfId="0" applyNumberFormat="1" applyFont="1" applyAlignment="1">
      <alignment horizontal="center" vertical="center"/>
    </xf>
    <xf numFmtId="0" fontId="28" fillId="0" borderId="0" xfId="0" applyFont="1"/>
    <xf numFmtId="0" fontId="28" fillId="0" borderId="0" xfId="0" applyFont="1" applyAlignment="1">
      <alignment horizontal="center" vertical="center"/>
    </xf>
    <xf numFmtId="0" fontId="11" fillId="0" borderId="0" xfId="0" applyFont="1"/>
    <xf numFmtId="0" fontId="17" fillId="0" borderId="0" xfId="0" applyFont="1"/>
    <xf numFmtId="0" fontId="11" fillId="0" borderId="0" xfId="0" applyFont="1" applyAlignment="1">
      <alignment horizontal="center" vertical="center"/>
    </xf>
    <xf numFmtId="0" fontId="11"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wrapText="1"/>
    </xf>
    <xf numFmtId="0" fontId="31" fillId="0" borderId="0" xfId="0" applyFont="1" applyAlignment="1">
      <alignment vertical="center"/>
    </xf>
    <xf numFmtId="0" fontId="2" fillId="0" borderId="1" xfId="1" applyBorder="1" applyAlignment="1">
      <alignment vertical="center" wrapText="1"/>
    </xf>
    <xf numFmtId="0" fontId="2" fillId="0" borderId="1" xfId="1" applyBorder="1" applyAlignment="1">
      <alignment vertical="center"/>
    </xf>
    <xf numFmtId="0" fontId="11" fillId="0" borderId="1" xfId="0" applyFont="1" applyBorder="1" applyAlignment="1">
      <alignment vertical="center"/>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40" fillId="20" borderId="1" xfId="0" applyFont="1" applyFill="1" applyBorder="1" applyAlignment="1">
      <alignment vertical="center"/>
    </xf>
    <xf numFmtId="0" fontId="40" fillId="20" borderId="1" xfId="0" applyFont="1" applyFill="1" applyBorder="1" applyAlignment="1">
      <alignment horizontal="left" vertical="center"/>
    </xf>
    <xf numFmtId="3" fontId="11" fillId="0" borderId="1" xfId="7" applyNumberFormat="1" applyFont="1" applyBorder="1" applyAlignment="1">
      <alignment horizontal="center" vertical="center"/>
    </xf>
    <xf numFmtId="1" fontId="2" fillId="0" borderId="1" xfId="7" applyNumberFormat="1" applyFont="1" applyBorder="1" applyAlignment="1">
      <alignment horizontal="center" vertical="center"/>
    </xf>
    <xf numFmtId="165" fontId="11" fillId="0" borderId="0" xfId="0" applyNumberFormat="1" applyFont="1" applyAlignment="1">
      <alignment horizontal="center" vertical="center"/>
    </xf>
    <xf numFmtId="0" fontId="11" fillId="0" borderId="0" xfId="0" applyFont="1" applyAlignment="1">
      <alignment horizontal="center" vertical="top" wrapText="1"/>
    </xf>
    <xf numFmtId="0" fontId="17" fillId="2" borderId="0" xfId="0" applyFont="1" applyFill="1"/>
    <xf numFmtId="0" fontId="17" fillId="2" borderId="0" xfId="0" applyFont="1" applyFill="1" applyAlignment="1">
      <alignment wrapText="1"/>
    </xf>
    <xf numFmtId="0" fontId="17" fillId="2" borderId="0" xfId="0" applyFont="1" applyFill="1" applyAlignment="1">
      <alignment horizontal="left"/>
    </xf>
    <xf numFmtId="0" fontId="17" fillId="2" borderId="0" xfId="0" applyFont="1" applyFill="1" applyAlignment="1">
      <alignment horizontal="center"/>
    </xf>
    <xf numFmtId="0" fontId="41" fillId="20" borderId="1" xfId="0" applyFont="1" applyFill="1" applyBorder="1" applyAlignment="1">
      <alignment horizontal="center" vertical="center" wrapText="1"/>
    </xf>
    <xf numFmtId="0" fontId="40" fillId="20" borderId="1" xfId="0" applyFont="1" applyFill="1" applyBorder="1" applyAlignment="1">
      <alignment horizontal="center" vertical="center"/>
    </xf>
    <xf numFmtId="9" fontId="11" fillId="0" borderId="0" xfId="2" applyFont="1" applyFill="1" applyBorder="1" applyAlignment="1">
      <alignment horizontal="center" vertical="center"/>
    </xf>
    <xf numFmtId="0" fontId="2" fillId="0" borderId="1" xfId="0" applyFont="1" applyBorder="1" applyAlignment="1">
      <alignment horizontal="center" vertical="center"/>
    </xf>
    <xf numFmtId="0" fontId="17" fillId="0" borderId="0" xfId="0" applyFont="1" applyAlignment="1">
      <alignment vertical="center"/>
    </xf>
    <xf numFmtId="0" fontId="44" fillId="0" borderId="0" xfId="0" applyFont="1" applyAlignment="1">
      <alignment horizontal="left" vertical="center"/>
    </xf>
    <xf numFmtId="0" fontId="11" fillId="0" borderId="19" xfId="4" applyBorder="1" applyAlignment="1">
      <alignment horizontal="center" vertical="center"/>
    </xf>
    <xf numFmtId="0" fontId="45" fillId="20" borderId="8" xfId="0" applyFont="1" applyFill="1" applyBorder="1" applyAlignment="1">
      <alignment horizontal="center" vertical="center"/>
    </xf>
    <xf numFmtId="0" fontId="43" fillId="0" borderId="0" xfId="0" applyFont="1" applyAlignment="1">
      <alignment horizontal="center" vertical="center"/>
    </xf>
    <xf numFmtId="0" fontId="46" fillId="7" borderId="0" xfId="0" applyFont="1" applyFill="1" applyAlignment="1">
      <alignment vertical="center" wrapText="1"/>
    </xf>
    <xf numFmtId="0" fontId="43" fillId="7" borderId="0" xfId="0" applyFont="1" applyFill="1" applyAlignment="1">
      <alignment horizontal="center" vertical="center"/>
    </xf>
    <xf numFmtId="165" fontId="43" fillId="7" borderId="0" xfId="0" applyNumberFormat="1" applyFont="1" applyFill="1" applyAlignment="1">
      <alignment horizontal="center" vertical="center"/>
    </xf>
    <xf numFmtId="0" fontId="40" fillId="20" borderId="22" xfId="0" applyFont="1" applyFill="1" applyBorder="1" applyAlignment="1">
      <alignment horizontal="center" vertical="center" wrapText="1"/>
    </xf>
    <xf numFmtId="0" fontId="44" fillId="0" borderId="0" xfId="0" applyFont="1" applyAlignment="1">
      <alignment horizontal="left"/>
    </xf>
    <xf numFmtId="0" fontId="45" fillId="0" borderId="0" xfId="0" applyFont="1" applyAlignment="1">
      <alignment horizontal="left" vertical="center" wrapText="1"/>
    </xf>
    <xf numFmtId="0" fontId="45" fillId="0" borderId="0" xfId="0" applyFont="1" applyAlignment="1">
      <alignment horizontal="left" vertical="center"/>
    </xf>
    <xf numFmtId="0" fontId="45" fillId="0" borderId="0" xfId="0" applyFont="1" applyAlignment="1">
      <alignment horizontal="center" vertical="center" wrapText="1"/>
    </xf>
    <xf numFmtId="10" fontId="11" fillId="0" borderId="0" xfId="8" applyNumberFormat="1" applyFont="1" applyFill="1" applyBorder="1" applyAlignment="1">
      <alignment horizontal="center"/>
    </xf>
    <xf numFmtId="168" fontId="43" fillId="0" borderId="0" xfId="0" applyNumberFormat="1" applyFont="1" applyAlignment="1">
      <alignment horizontal="center" vertical="center"/>
    </xf>
    <xf numFmtId="3" fontId="11" fillId="0" borderId="0" xfId="7" applyNumberFormat="1" applyFont="1" applyAlignment="1">
      <alignment horizontal="center" vertical="center"/>
    </xf>
    <xf numFmtId="0" fontId="47" fillId="0" borderId="0" xfId="0" applyFont="1"/>
    <xf numFmtId="0" fontId="47" fillId="0" borderId="0" xfId="0" applyFont="1" applyAlignment="1">
      <alignment wrapText="1"/>
    </xf>
    <xf numFmtId="0" fontId="18" fillId="0" borderId="0" xfId="5" applyAlignment="1">
      <alignment vertical="center"/>
    </xf>
    <xf numFmtId="0" fontId="11" fillId="0" borderId="0" xfId="4" applyAlignment="1">
      <alignment horizontal="center" vertical="center"/>
    </xf>
    <xf numFmtId="9" fontId="11" fillId="0" borderId="0" xfId="0" applyNumberFormat="1" applyFont="1" applyAlignment="1">
      <alignment horizontal="center"/>
    </xf>
    <xf numFmtId="9" fontId="11" fillId="0" borderId="0" xfId="0" applyNumberFormat="1" applyFont="1" applyAlignment="1">
      <alignment horizontal="left"/>
    </xf>
    <xf numFmtId="0" fontId="11" fillId="0" borderId="1" xfId="0" applyFont="1" applyBorder="1"/>
    <xf numFmtId="0" fontId="49" fillId="0" borderId="0" xfId="0" applyFont="1" applyAlignment="1">
      <alignment vertical="center"/>
    </xf>
    <xf numFmtId="169" fontId="11" fillId="0" borderId="0" xfId="6" applyNumberFormat="1" applyFont="1"/>
    <xf numFmtId="169" fontId="11" fillId="0" borderId="17" xfId="6" applyNumberFormat="1" applyFont="1" applyBorder="1"/>
    <xf numFmtId="0" fontId="11" fillId="0" borderId="1" xfId="0" applyFont="1" applyBorder="1" applyAlignment="1">
      <alignment wrapText="1"/>
    </xf>
    <xf numFmtId="0" fontId="11" fillId="0" borderId="12" xfId="0" applyFont="1" applyBorder="1"/>
    <xf numFmtId="0" fontId="11" fillId="0" borderId="15" xfId="0" applyFont="1" applyBorder="1"/>
    <xf numFmtId="0" fontId="11" fillId="0" borderId="12" xfId="0" applyFont="1" applyBorder="1" applyAlignment="1">
      <alignment horizontal="right" vertical="center"/>
    </xf>
    <xf numFmtId="0" fontId="44" fillId="0" borderId="0" xfId="0" applyFont="1" applyAlignment="1">
      <alignment horizontal="center" vertical="center" wrapText="1"/>
    </xf>
    <xf numFmtId="0" fontId="42" fillId="0" borderId="0" xfId="0" applyFont="1" applyAlignment="1">
      <alignment horizontal="left" vertical="center"/>
    </xf>
    <xf numFmtId="0" fontId="42" fillId="0" borderId="0" xfId="0" applyFont="1"/>
    <xf numFmtId="0" fontId="28" fillId="0" borderId="0" xfId="0" applyFont="1" applyAlignment="1">
      <alignment wrapText="1"/>
    </xf>
    <xf numFmtId="0" fontId="43" fillId="0" borderId="7" xfId="0" applyFont="1" applyBorder="1" applyAlignment="1">
      <alignment horizontal="center" vertical="center"/>
    </xf>
    <xf numFmtId="0" fontId="43" fillId="0" borderId="32" xfId="0" applyFont="1" applyBorder="1" applyAlignment="1">
      <alignment horizontal="center" vertical="center"/>
    </xf>
    <xf numFmtId="0" fontId="30" fillId="0" borderId="0" xfId="0" applyFont="1" applyAlignment="1">
      <alignment vertical="center" wrapText="1"/>
    </xf>
    <xf numFmtId="0" fontId="17" fillId="2" borderId="0" xfId="0" applyFont="1" applyFill="1" applyAlignment="1">
      <alignment vertical="center"/>
    </xf>
    <xf numFmtId="0" fontId="42" fillId="0" borderId="0" xfId="0" applyFont="1" applyAlignment="1">
      <alignment vertical="center"/>
    </xf>
    <xf numFmtId="0" fontId="18" fillId="0" borderId="0" xfId="5"/>
    <xf numFmtId="0" fontId="11" fillId="0" borderId="0" xfId="0" applyFont="1" applyAlignment="1">
      <alignment horizontal="left" vertical="center"/>
    </xf>
    <xf numFmtId="0" fontId="11" fillId="0" borderId="0" xfId="0" applyFont="1" applyAlignment="1">
      <alignment horizontal="center"/>
    </xf>
    <xf numFmtId="0" fontId="11" fillId="0" borderId="0" xfId="0" applyFont="1" applyAlignment="1">
      <alignment horizontal="left"/>
    </xf>
    <xf numFmtId="0" fontId="11" fillId="0" borderId="0" xfId="0" applyFont="1" applyAlignment="1">
      <alignment vertical="center" wrapText="1"/>
    </xf>
    <xf numFmtId="0" fontId="11" fillId="0" borderId="1" xfId="0" applyFont="1" applyBorder="1" applyAlignment="1">
      <alignment horizontal="center" vertical="center"/>
    </xf>
    <xf numFmtId="0" fontId="11" fillId="0" borderId="33" xfId="0" applyFont="1" applyBorder="1" applyAlignment="1">
      <alignment horizontal="center" vertical="center" wrapText="1"/>
    </xf>
    <xf numFmtId="0" fontId="17" fillId="20" borderId="33" xfId="0" applyFont="1" applyFill="1" applyBorder="1" applyAlignment="1">
      <alignment horizontal="center" vertical="center" wrapText="1"/>
    </xf>
    <xf numFmtId="0" fontId="17" fillId="20" borderId="8" xfId="0" applyFont="1" applyFill="1" applyBorder="1" applyAlignment="1">
      <alignment horizontal="center" vertical="center"/>
    </xf>
    <xf numFmtId="0" fontId="40" fillId="20" borderId="1" xfId="0" applyFont="1" applyFill="1" applyBorder="1" applyAlignment="1">
      <alignment horizontal="center" vertical="center" wrapText="1"/>
    </xf>
    <xf numFmtId="0" fontId="17" fillId="20" borderId="0" xfId="0" applyFont="1" applyFill="1" applyAlignment="1">
      <alignment horizontal="center" vertical="center"/>
    </xf>
    <xf numFmtId="0" fontId="48" fillId="0" borderId="0" xfId="0" applyFont="1" applyAlignment="1">
      <alignment vertical="center"/>
    </xf>
    <xf numFmtId="170" fontId="2" fillId="0" borderId="0" xfId="0" applyNumberFormat="1" applyFont="1"/>
    <xf numFmtId="0" fontId="11" fillId="7" borderId="0" xfId="0" applyFont="1" applyFill="1" applyAlignment="1">
      <alignment vertical="center"/>
    </xf>
    <xf numFmtId="0" fontId="11" fillId="0" borderId="25" xfId="0" applyFont="1" applyBorder="1" applyAlignment="1">
      <alignment vertical="center" wrapText="1"/>
    </xf>
    <xf numFmtId="0" fontId="11" fillId="0" borderId="25" xfId="0" applyFont="1" applyBorder="1" applyAlignment="1">
      <alignment horizontal="center" vertical="center" wrapText="1"/>
    </xf>
    <xf numFmtId="0" fontId="45" fillId="20" borderId="25" xfId="0" applyFont="1" applyFill="1" applyBorder="1" applyAlignment="1">
      <alignment horizontal="left" vertical="center" wrapText="1"/>
    </xf>
    <xf numFmtId="0" fontId="45" fillId="20" borderId="25" xfId="0" applyFont="1" applyFill="1" applyBorder="1" applyAlignment="1">
      <alignment horizontal="center" vertical="center" wrapText="1"/>
    </xf>
    <xf numFmtId="0" fontId="11" fillId="0" borderId="25" xfId="0" applyFont="1" applyBorder="1" applyAlignment="1">
      <alignment vertical="center"/>
    </xf>
    <xf numFmtId="3" fontId="11" fillId="0" borderId="25" xfId="0" applyNumberFormat="1" applyFont="1" applyBorder="1" applyAlignment="1">
      <alignment horizontal="center" vertical="center"/>
    </xf>
    <xf numFmtId="0" fontId="40" fillId="20" borderId="25" xfId="0" applyFont="1" applyFill="1" applyBorder="1" applyAlignment="1">
      <alignment horizontal="center" vertical="center" wrapText="1"/>
    </xf>
    <xf numFmtId="0" fontId="45" fillId="20" borderId="25" xfId="0" applyFont="1" applyFill="1" applyBorder="1" applyAlignment="1">
      <alignment horizontal="center" vertical="center"/>
    </xf>
    <xf numFmtId="9" fontId="11" fillId="0" borderId="25" xfId="0" applyNumberFormat="1" applyFont="1" applyBorder="1" applyAlignment="1">
      <alignment horizontal="center"/>
    </xf>
    <xf numFmtId="0" fontId="11" fillId="0" borderId="25" xfId="4" applyBorder="1" applyAlignment="1">
      <alignment horizontal="center" vertical="center"/>
    </xf>
    <xf numFmtId="0" fontId="2" fillId="0" borderId="25" xfId="0" applyFont="1" applyBorder="1" applyAlignment="1">
      <alignment horizontal="center" vertical="center"/>
    </xf>
    <xf numFmtId="0" fontId="51" fillId="7" borderId="48" xfId="0" applyFont="1" applyFill="1" applyBorder="1" applyAlignment="1">
      <alignment horizontal="left" vertical="center"/>
    </xf>
    <xf numFmtId="2" fontId="11" fillId="0" borderId="1" xfId="0" applyNumberFormat="1" applyFont="1" applyBorder="1" applyAlignment="1">
      <alignment horizontal="center" vertical="center"/>
    </xf>
    <xf numFmtId="0" fontId="70" fillId="0" borderId="0" xfId="0" applyFont="1"/>
    <xf numFmtId="0" fontId="42" fillId="0" borderId="25" xfId="0" applyFont="1" applyBorder="1" applyAlignment="1">
      <alignment vertical="center"/>
    </xf>
    <xf numFmtId="0" fontId="67" fillId="7" borderId="0" xfId="0" applyFont="1" applyFill="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vertical="center"/>
    </xf>
    <xf numFmtId="3" fontId="2" fillId="0" borderId="1" xfId="1" applyNumberFormat="1" applyBorder="1" applyAlignment="1">
      <alignment horizontal="center" vertical="center" wrapText="1"/>
    </xf>
    <xf numFmtId="166" fontId="2" fillId="0" borderId="1" xfId="1" applyNumberFormat="1" applyBorder="1" applyAlignment="1">
      <alignment horizontal="center" vertical="center" wrapText="1"/>
    </xf>
    <xf numFmtId="0" fontId="17" fillId="0" borderId="0" xfId="0" applyFont="1" applyAlignment="1">
      <alignment horizontal="center"/>
    </xf>
    <xf numFmtId="9" fontId="2" fillId="0" borderId="25" xfId="2" applyFont="1" applyFill="1" applyBorder="1" applyAlignment="1">
      <alignment horizontal="center" vertical="center"/>
    </xf>
    <xf numFmtId="9" fontId="2" fillId="0" borderId="25" xfId="0" applyNumberFormat="1" applyFont="1" applyBorder="1" applyAlignment="1">
      <alignment horizontal="center"/>
    </xf>
    <xf numFmtId="169" fontId="2" fillId="0" borderId="19" xfId="6" applyNumberFormat="1" applyFont="1" applyBorder="1" applyAlignment="1">
      <alignment horizontal="center" vertical="center"/>
    </xf>
    <xf numFmtId="2" fontId="2" fillId="0" borderId="19" xfId="0" applyNumberFormat="1" applyFont="1" applyBorder="1" applyAlignment="1">
      <alignment horizontal="center" vertical="center"/>
    </xf>
    <xf numFmtId="0" fontId="2" fillId="0" borderId="25" xfId="0" applyFont="1" applyBorder="1" applyAlignment="1">
      <alignment vertical="center" wrapText="1"/>
    </xf>
    <xf numFmtId="3" fontId="2" fillId="0" borderId="0" xfId="3" applyNumberFormat="1" applyFont="1" applyFill="1" applyBorder="1" applyAlignment="1">
      <alignment horizontal="center" vertical="center" wrapText="1"/>
    </xf>
    <xf numFmtId="3" fontId="26" fillId="0" borderId="0" xfId="3" applyNumberFormat="1" applyFont="1" applyBorder="1" applyAlignment="1">
      <alignment horizontal="center" vertical="center" wrapText="1"/>
    </xf>
    <xf numFmtId="1" fontId="2" fillId="0" borderId="0" xfId="7" applyNumberFormat="1" applyFont="1" applyAlignment="1">
      <alignment horizontal="center" vertical="center"/>
    </xf>
    <xf numFmtId="0" fontId="2" fillId="0" borderId="0" xfId="0" applyFont="1" applyAlignment="1">
      <alignment horizontal="left"/>
    </xf>
    <xf numFmtId="3" fontId="2" fillId="0" borderId="0" xfId="0" applyNumberFormat="1" applyFont="1" applyAlignment="1">
      <alignment horizontal="left"/>
    </xf>
    <xf numFmtId="0" fontId="17" fillId="0" borderId="0" xfId="0" applyFont="1" applyAlignment="1">
      <alignment horizontal="center" vertical="center"/>
    </xf>
    <xf numFmtId="0" fontId="72" fillId="0" borderId="0" xfId="0" applyFont="1" applyAlignment="1">
      <alignment horizontal="center" vertical="center" wrapText="1"/>
    </xf>
    <xf numFmtId="3" fontId="72" fillId="0" borderId="0" xfId="7" applyNumberFormat="1" applyFont="1" applyAlignment="1">
      <alignment horizontal="center" vertical="center"/>
    </xf>
    <xf numFmtId="164" fontId="72" fillId="0" borderId="0" xfId="7" applyNumberFormat="1" applyFont="1" applyAlignment="1">
      <alignment horizontal="center" vertical="center"/>
    </xf>
    <xf numFmtId="3" fontId="72" fillId="0" borderId="0" xfId="3" applyNumberFormat="1" applyFont="1" applyFill="1" applyBorder="1" applyAlignment="1">
      <alignment horizontal="center" vertical="center" wrapText="1"/>
    </xf>
    <xf numFmtId="0" fontId="11" fillId="0" borderId="1" xfId="0" applyFont="1" applyBorder="1" applyAlignment="1">
      <alignment horizontal="center"/>
    </xf>
    <xf numFmtId="0" fontId="29" fillId="0" borderId="0" xfId="0" applyFont="1" applyAlignment="1">
      <alignment horizontal="center" vertical="center"/>
    </xf>
    <xf numFmtId="0" fontId="44" fillId="0" borderId="1" xfId="0" applyFont="1" applyBorder="1" applyAlignment="1">
      <alignment horizontal="center" vertical="center"/>
    </xf>
    <xf numFmtId="1" fontId="74" fillId="0" borderId="0" xfId="0" applyNumberFormat="1" applyFont="1" applyAlignment="1">
      <alignment horizontal="center" vertical="center" wrapText="1"/>
    </xf>
    <xf numFmtId="0" fontId="74" fillId="0" borderId="0" xfId="0" applyFont="1" applyAlignment="1">
      <alignment horizontal="center" vertical="center" wrapText="1"/>
    </xf>
    <xf numFmtId="0" fontId="74" fillId="0" borderId="0" xfId="0" applyFont="1" applyAlignment="1">
      <alignment horizontal="center" vertical="center"/>
    </xf>
    <xf numFmtId="0" fontId="75" fillId="0" borderId="0" xfId="0" applyFont="1" applyAlignment="1">
      <alignment horizontal="center" vertical="center"/>
    </xf>
    <xf numFmtId="0" fontId="74" fillId="0" borderId="0" xfId="0" applyFont="1" applyAlignment="1">
      <alignment vertical="center" wrapText="1"/>
    </xf>
    <xf numFmtId="10" fontId="11" fillId="0" borderId="1" xfId="0" applyNumberFormat="1" applyFont="1" applyBorder="1" applyAlignment="1">
      <alignment horizontal="center" vertical="center" wrapText="1"/>
    </xf>
    <xf numFmtId="0" fontId="2" fillId="0" borderId="1" xfId="1" applyBorder="1" applyAlignment="1">
      <alignment horizontal="center" vertical="center" wrapText="1"/>
    </xf>
    <xf numFmtId="2" fontId="2" fillId="0" borderId="25" xfId="2" applyNumberFormat="1" applyFont="1" applyFill="1" applyBorder="1" applyAlignment="1">
      <alignment horizontal="center" vertical="center"/>
    </xf>
    <xf numFmtId="2" fontId="2" fillId="0" borderId="25" xfId="0" applyNumberFormat="1" applyFont="1" applyBorder="1" applyAlignment="1">
      <alignment horizontal="center"/>
    </xf>
    <xf numFmtId="2" fontId="11" fillId="0" borderId="0" xfId="0" applyNumberFormat="1" applyFont="1"/>
    <xf numFmtId="0" fontId="78" fillId="0" borderId="0" xfId="0" applyFont="1" applyAlignment="1">
      <alignment vertical="center" wrapText="1"/>
    </xf>
    <xf numFmtId="0" fontId="77" fillId="0" borderId="0" xfId="0" applyFont="1" applyAlignment="1">
      <alignment vertical="center"/>
    </xf>
    <xf numFmtId="9" fontId="11" fillId="0" borderId="34" xfId="2" applyFont="1" applyFill="1" applyBorder="1" applyAlignment="1">
      <alignment horizontal="center" vertical="center"/>
    </xf>
    <xf numFmtId="9" fontId="11" fillId="0" borderId="0" xfId="2" applyFont="1" applyFill="1" applyBorder="1" applyAlignment="1">
      <alignment vertical="center"/>
    </xf>
    <xf numFmtId="9" fontId="11" fillId="0" borderId="1" xfId="2" applyFont="1" applyFill="1" applyBorder="1" applyAlignment="1">
      <alignment horizontal="center" vertical="center"/>
    </xf>
    <xf numFmtId="0" fontId="52" fillId="0" borderId="0" xfId="0" applyFont="1" applyAlignment="1">
      <alignment wrapText="1"/>
    </xf>
    <xf numFmtId="1" fontId="2" fillId="0" borderId="25" xfId="0" applyNumberFormat="1" applyFont="1" applyBorder="1" applyAlignment="1">
      <alignment horizontal="center" vertical="center"/>
    </xf>
    <xf numFmtId="2" fontId="11" fillId="0" borderId="25" xfId="0" applyNumberFormat="1" applyFont="1" applyBorder="1" applyAlignment="1">
      <alignment horizontal="center" vertical="center" wrapText="1"/>
    </xf>
    <xf numFmtId="2" fontId="73" fillId="0" borderId="1" xfId="0" applyNumberFormat="1" applyFont="1" applyBorder="1" applyAlignment="1">
      <alignment horizontal="center" vertical="center"/>
    </xf>
    <xf numFmtId="2" fontId="67" fillId="0" borderId="1" xfId="0" applyNumberFormat="1" applyFont="1" applyBorder="1" applyAlignment="1">
      <alignment horizontal="center" vertical="center"/>
    </xf>
    <xf numFmtId="0" fontId="67" fillId="0" borderId="1" xfId="0" applyFont="1" applyBorder="1" applyAlignment="1">
      <alignment horizontal="center" vertical="center"/>
    </xf>
    <xf numFmtId="0" fontId="11" fillId="0" borderId="1" xfId="0" applyFont="1" applyBorder="1" applyAlignment="1">
      <alignment horizontal="left"/>
    </xf>
    <xf numFmtId="0" fontId="11" fillId="0" borderId="1" xfId="0" applyFont="1" applyBorder="1" applyAlignment="1">
      <alignment horizontal="left" vertical="center"/>
    </xf>
    <xf numFmtId="165" fontId="11" fillId="0" borderId="1" xfId="0" applyNumberFormat="1" applyFont="1" applyBorder="1" applyAlignment="1">
      <alignment horizontal="center"/>
    </xf>
    <xf numFmtId="0" fontId="29" fillId="25" borderId="0" xfId="0" applyFont="1" applyFill="1" applyAlignment="1">
      <alignment horizontal="center" vertical="center"/>
    </xf>
    <xf numFmtId="0" fontId="11" fillId="0" borderId="1" xfId="0" applyFont="1" applyBorder="1" applyAlignment="1">
      <alignment horizontal="center" wrapText="1"/>
    </xf>
    <xf numFmtId="0" fontId="43" fillId="0" borderId="3" xfId="0" applyFont="1" applyBorder="1" applyAlignment="1">
      <alignment horizontal="center" vertical="center" wrapText="1"/>
    </xf>
    <xf numFmtId="0" fontId="17" fillId="20" borderId="1" xfId="0" applyFont="1" applyFill="1" applyBorder="1" applyAlignment="1">
      <alignment horizontal="center" vertical="center"/>
    </xf>
    <xf numFmtId="0" fontId="17" fillId="20" borderId="34" xfId="0" applyFont="1" applyFill="1" applyBorder="1" applyAlignment="1">
      <alignment horizontal="center" vertical="center"/>
    </xf>
    <xf numFmtId="0" fontId="17" fillId="20" borderId="34" xfId="0" applyFont="1" applyFill="1" applyBorder="1" applyAlignment="1">
      <alignment horizontal="center" vertical="center" wrapText="1"/>
    </xf>
    <xf numFmtId="2" fontId="2" fillId="0" borderId="1" xfId="0" applyNumberFormat="1" applyFont="1" applyBorder="1" applyAlignment="1">
      <alignment horizontal="center" vertical="center"/>
    </xf>
    <xf numFmtId="2" fontId="43"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43" fillId="0" borderId="1" xfId="0" applyFont="1" applyBorder="1" applyAlignment="1">
      <alignment horizontal="center" vertical="center"/>
    </xf>
    <xf numFmtId="1" fontId="0" fillId="0" borderId="1" xfId="0" applyNumberFormat="1" applyBorder="1" applyAlignment="1">
      <alignment horizontal="center" vertical="center"/>
    </xf>
    <xf numFmtId="0" fontId="71" fillId="0" borderId="1" xfId="0" applyFont="1" applyBorder="1" applyAlignment="1">
      <alignment horizontal="center" vertical="center" wrapText="1"/>
    </xf>
    <xf numFmtId="0" fontId="11" fillId="7" borderId="0" xfId="0" applyFont="1" applyFill="1" applyAlignment="1">
      <alignment horizontal="center" vertical="center"/>
    </xf>
    <xf numFmtId="0" fontId="44" fillId="0" borderId="1" xfId="0" applyFont="1" applyBorder="1"/>
    <xf numFmtId="0" fontId="45" fillId="27" borderId="1" xfId="0" applyFont="1" applyFill="1" applyBorder="1" applyAlignment="1">
      <alignment horizontal="center" vertical="center" wrapText="1"/>
    </xf>
    <xf numFmtId="164" fontId="11" fillId="0" borderId="1" xfId="7" applyNumberFormat="1" applyFont="1" applyBorder="1" applyAlignment="1">
      <alignment horizontal="center" vertical="center"/>
    </xf>
    <xf numFmtId="165" fontId="0" fillId="0" borderId="1" xfId="0" applyNumberFormat="1" applyBorder="1" applyAlignment="1">
      <alignment horizontal="center"/>
    </xf>
    <xf numFmtId="3" fontId="11" fillId="0" borderId="0" xfId="0" applyNumberFormat="1" applyFont="1" applyAlignment="1">
      <alignment horizontal="center"/>
    </xf>
    <xf numFmtId="0" fontId="2" fillId="0" borderId="0" xfId="3" applyFont="1" applyFill="1" applyBorder="1" applyAlignment="1">
      <alignment horizontal="center" vertical="center" wrapText="1"/>
    </xf>
    <xf numFmtId="0" fontId="72" fillId="0" borderId="0" xfId="3" applyFont="1" applyFill="1" applyBorder="1" applyAlignment="1">
      <alignment horizontal="center" vertical="center" wrapText="1"/>
    </xf>
    <xf numFmtId="0" fontId="17" fillId="2" borderId="0" xfId="0" applyFont="1" applyFill="1" applyAlignment="1">
      <alignment horizontal="center" wrapText="1"/>
    </xf>
    <xf numFmtId="0" fontId="2" fillId="0" borderId="0" xfId="0" applyFont="1" applyAlignment="1">
      <alignment horizontal="center" vertical="top"/>
    </xf>
    <xf numFmtId="4" fontId="11" fillId="0" borderId="0" xfId="0" applyNumberFormat="1" applyFont="1" applyAlignment="1">
      <alignment horizontal="center"/>
    </xf>
    <xf numFmtId="165" fontId="11" fillId="0" borderId="0" xfId="0" applyNumberFormat="1" applyFont="1" applyAlignment="1">
      <alignment horizontal="center"/>
    </xf>
    <xf numFmtId="0" fontId="11" fillId="7" borderId="0" xfId="0" applyFont="1" applyFill="1" applyAlignment="1">
      <alignment wrapText="1"/>
    </xf>
    <xf numFmtId="0" fontId="3" fillId="0" borderId="0" xfId="7" applyAlignment="1">
      <alignment wrapText="1"/>
    </xf>
    <xf numFmtId="168" fontId="11" fillId="0" borderId="1" xfId="0" applyNumberFormat="1" applyFont="1" applyBorder="1" applyAlignment="1">
      <alignment horizontal="center" vertical="center" wrapText="1"/>
    </xf>
    <xf numFmtId="0" fontId="28" fillId="0" borderId="0" xfId="0" applyFont="1" applyAlignment="1">
      <alignment vertical="center" wrapText="1"/>
    </xf>
    <xf numFmtId="0" fontId="34" fillId="0" borderId="1" xfId="0" applyFont="1" applyBorder="1" applyAlignment="1">
      <alignment horizontal="center" vertical="center" wrapText="1"/>
    </xf>
    <xf numFmtId="0" fontId="76" fillId="0" borderId="1" xfId="0" applyFont="1" applyBorder="1" applyAlignment="1">
      <alignment horizontal="center" vertical="center" wrapText="1"/>
    </xf>
    <xf numFmtId="0" fontId="11" fillId="7" borderId="0" xfId="0" applyFont="1" applyFill="1" applyAlignment="1">
      <alignment horizontal="center" wrapText="1"/>
    </xf>
    <xf numFmtId="0" fontId="29" fillId="25" borderId="0" xfId="0" applyFont="1" applyFill="1" applyAlignment="1">
      <alignment vertical="center" wrapText="1"/>
    </xf>
    <xf numFmtId="0" fontId="11" fillId="25" borderId="0" xfId="0" applyFont="1" applyFill="1" applyAlignment="1">
      <alignment wrapText="1"/>
    </xf>
    <xf numFmtId="0" fontId="44" fillId="0" borderId="0" xfId="0" applyFont="1" applyAlignment="1">
      <alignment wrapText="1"/>
    </xf>
    <xf numFmtId="0" fontId="18" fillId="0" borderId="0" xfId="5" applyAlignment="1">
      <alignment wrapText="1"/>
    </xf>
    <xf numFmtId="0" fontId="28" fillId="0" borderId="0" xfId="0" applyFont="1" applyAlignment="1">
      <alignment horizontal="center" wrapText="1"/>
    </xf>
    <xf numFmtId="3" fontId="28" fillId="0" borderId="0" xfId="0" applyNumberFormat="1" applyFont="1" applyAlignment="1">
      <alignment wrapText="1"/>
    </xf>
    <xf numFmtId="0" fontId="44" fillId="0" borderId="56" xfId="0" applyFont="1" applyBorder="1" applyAlignment="1">
      <alignment horizontal="center" vertical="center" wrapText="1"/>
    </xf>
    <xf numFmtId="2" fontId="52" fillId="0" borderId="0" xfId="0" applyNumberFormat="1" applyFont="1" applyAlignment="1">
      <alignment wrapText="1"/>
    </xf>
    <xf numFmtId="0" fontId="47" fillId="0" borderId="0" xfId="0" applyFont="1" applyAlignment="1">
      <alignment horizontal="center" wrapText="1"/>
    </xf>
    <xf numFmtId="0" fontId="17" fillId="20" borderId="1" xfId="0" applyFont="1" applyFill="1" applyBorder="1" applyAlignment="1">
      <alignment horizontal="center" vertical="center" wrapText="1"/>
    </xf>
    <xf numFmtId="0" fontId="26" fillId="0" borderId="1" xfId="3" applyFont="1" applyFill="1" applyBorder="1" applyAlignment="1">
      <alignment horizontal="left" vertical="center" wrapText="1"/>
    </xf>
    <xf numFmtId="9" fontId="11" fillId="7" borderId="0" xfId="0" applyNumberFormat="1" applyFont="1" applyFill="1" applyAlignment="1">
      <alignment vertical="center"/>
    </xf>
    <xf numFmtId="0" fontId="11" fillId="7" borderId="50" xfId="0" applyFont="1" applyFill="1" applyBorder="1" applyAlignment="1">
      <alignment vertical="center"/>
    </xf>
    <xf numFmtId="9" fontId="11" fillId="0" borderId="0" xfId="2" applyFont="1" applyFill="1" applyBorder="1" applyAlignment="1">
      <alignment horizontal="left" vertical="center"/>
    </xf>
    <xf numFmtId="1" fontId="11" fillId="0" borderId="0" xfId="2" applyNumberFormat="1" applyFont="1" applyFill="1" applyBorder="1" applyAlignment="1">
      <alignment vertical="center"/>
    </xf>
    <xf numFmtId="0" fontId="11" fillId="7" borderId="0" xfId="0" applyFont="1" applyFill="1" applyAlignment="1">
      <alignment horizontal="left" vertical="center"/>
    </xf>
    <xf numFmtId="0" fontId="44" fillId="7" borderId="0" xfId="0" applyFont="1" applyFill="1" applyAlignment="1">
      <alignment horizontal="center" vertical="center" wrapText="1"/>
    </xf>
    <xf numFmtId="0" fontId="11" fillId="60" borderId="1" xfId="0" quotePrefix="1" applyFont="1" applyFill="1" applyBorder="1" applyAlignment="1">
      <alignment horizontal="center" vertical="center" wrapText="1"/>
    </xf>
    <xf numFmtId="0" fontId="73"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17" fillId="27" borderId="1" xfId="0" applyFont="1" applyFill="1" applyBorder="1" applyAlignment="1">
      <alignment horizontal="center" vertical="center" wrapText="1"/>
    </xf>
    <xf numFmtId="0" fontId="17" fillId="27" borderId="1" xfId="0" applyFont="1" applyFill="1" applyBorder="1" applyAlignment="1">
      <alignment horizontal="center" vertical="center"/>
    </xf>
    <xf numFmtId="0" fontId="11" fillId="0" borderId="1" xfId="0" applyFont="1" applyBorder="1" applyAlignment="1">
      <alignment horizontal="center" vertical="top" wrapText="1"/>
    </xf>
    <xf numFmtId="0" fontId="45" fillId="20" borderId="25" xfId="0" applyFont="1" applyFill="1" applyBorder="1" applyAlignment="1">
      <alignment vertical="center" wrapText="1"/>
    </xf>
    <xf numFmtId="3" fontId="11" fillId="0" borderId="25" xfId="0" applyNumberFormat="1" applyFont="1" applyBorder="1" applyAlignment="1">
      <alignment vertical="center"/>
    </xf>
    <xf numFmtId="0" fontId="2" fillId="0" borderId="25" xfId="0" applyFont="1" applyBorder="1" applyAlignment="1">
      <alignment vertical="center"/>
    </xf>
    <xf numFmtId="169" fontId="2" fillId="0" borderId="25" xfId="6" applyNumberFormat="1" applyFont="1" applyBorder="1" applyAlignment="1">
      <alignment vertical="center" wrapText="1"/>
    </xf>
    <xf numFmtId="169" fontId="2" fillId="0" borderId="25" xfId="6" applyNumberFormat="1" applyFont="1" applyBorder="1" applyAlignment="1">
      <alignment vertical="center"/>
    </xf>
    <xf numFmtId="0" fontId="43" fillId="0" borderId="59" xfId="0" applyFont="1" applyBorder="1" applyAlignment="1">
      <alignment horizontal="center" vertical="center" wrapText="1"/>
    </xf>
    <xf numFmtId="2" fontId="67" fillId="0" borderId="59" xfId="0" applyNumberFormat="1" applyFont="1" applyBorder="1" applyAlignment="1">
      <alignment horizontal="center" vertical="center"/>
    </xf>
    <xf numFmtId="2" fontId="67" fillId="0" borderId="60" xfId="0" applyNumberFormat="1" applyFont="1" applyBorder="1" applyAlignment="1">
      <alignment horizontal="center" vertical="center"/>
    </xf>
    <xf numFmtId="2" fontId="67" fillId="0" borderId="61" xfId="0" applyNumberFormat="1" applyFont="1" applyBorder="1" applyAlignment="1">
      <alignment horizontal="center" vertical="center"/>
    </xf>
    <xf numFmtId="2" fontId="67" fillId="0" borderId="24" xfId="0" applyNumberFormat="1" applyFont="1" applyBorder="1" applyAlignment="1">
      <alignment horizontal="center" vertical="center"/>
    </xf>
    <xf numFmtId="2" fontId="67" fillId="0" borderId="5" xfId="0" applyNumberFormat="1" applyFont="1" applyBorder="1" applyAlignment="1">
      <alignment horizontal="center" vertical="center"/>
    </xf>
    <xf numFmtId="2" fontId="43" fillId="0" borderId="59" xfId="0" applyNumberFormat="1" applyFont="1" applyBorder="1" applyAlignment="1">
      <alignment horizontal="center" vertical="center"/>
    </xf>
    <xf numFmtId="2" fontId="0" fillId="0" borderId="59" xfId="0" applyNumberFormat="1" applyBorder="1" applyAlignment="1">
      <alignment horizontal="center" vertical="center"/>
    </xf>
    <xf numFmtId="2" fontId="0" fillId="0" borderId="60" xfId="0" applyNumberFormat="1" applyBorder="1" applyAlignment="1">
      <alignment horizontal="center" vertical="center"/>
    </xf>
    <xf numFmtId="2" fontId="0" fillId="0" borderId="61" xfId="0" applyNumberFormat="1" applyBorder="1" applyAlignment="1">
      <alignment horizontal="center" vertical="center"/>
    </xf>
    <xf numFmtId="2" fontId="43" fillId="0" borderId="24" xfId="0" applyNumberFormat="1" applyFont="1" applyBorder="1" applyAlignment="1">
      <alignment horizontal="center" vertical="center"/>
    </xf>
    <xf numFmtId="2" fontId="0" fillId="0" borderId="24" xfId="0" applyNumberFormat="1" applyBorder="1" applyAlignment="1">
      <alignment horizontal="center" vertical="center"/>
    </xf>
    <xf numFmtId="2" fontId="0" fillId="0" borderId="5" xfId="0" applyNumberFormat="1" applyBorder="1" applyAlignment="1">
      <alignment horizontal="center" vertical="center"/>
    </xf>
    <xf numFmtId="0" fontId="43" fillId="0" borderId="59" xfId="0" applyFont="1" applyBorder="1" applyAlignment="1">
      <alignment horizontal="center" vertical="center"/>
    </xf>
    <xf numFmtId="0" fontId="43" fillId="0" borderId="24" xfId="0" applyFont="1" applyBorder="1" applyAlignment="1">
      <alignment horizontal="center" vertical="center"/>
    </xf>
    <xf numFmtId="1" fontId="0" fillId="0" borderId="59" xfId="0" applyNumberFormat="1" applyBorder="1" applyAlignment="1">
      <alignment horizontal="center" vertical="center"/>
    </xf>
    <xf numFmtId="1" fontId="0" fillId="0" borderId="60" xfId="0" applyNumberFormat="1" applyBorder="1" applyAlignment="1">
      <alignment horizontal="center" vertical="center"/>
    </xf>
    <xf numFmtId="1" fontId="0" fillId="0" borderId="61" xfId="0" applyNumberFormat="1" applyBorder="1" applyAlignment="1">
      <alignment horizontal="center" vertical="center"/>
    </xf>
    <xf numFmtId="1" fontId="0" fillId="0" borderId="24" xfId="0" applyNumberFormat="1" applyBorder="1" applyAlignment="1">
      <alignment horizontal="center" vertical="center"/>
    </xf>
    <xf numFmtId="1" fontId="0" fillId="0" borderId="5" xfId="0" applyNumberFormat="1" applyBorder="1" applyAlignment="1">
      <alignment horizontal="center" vertical="center"/>
    </xf>
    <xf numFmtId="0" fontId="67" fillId="0" borderId="59" xfId="0" applyFont="1" applyBorder="1" applyAlignment="1">
      <alignment horizontal="center" vertical="center"/>
    </xf>
    <xf numFmtId="0" fontId="67" fillId="0" borderId="24" xfId="0" applyFont="1" applyBorder="1" applyAlignment="1">
      <alignment horizontal="center" vertical="center"/>
    </xf>
    <xf numFmtId="2" fontId="73" fillId="0" borderId="59" xfId="0" applyNumberFormat="1" applyFont="1" applyBorder="1" applyAlignment="1">
      <alignment horizontal="center" vertical="center"/>
    </xf>
    <xf numFmtId="2" fontId="73" fillId="0" borderId="60" xfId="0" applyNumberFormat="1" applyFont="1" applyBorder="1" applyAlignment="1">
      <alignment horizontal="center" vertical="center"/>
    </xf>
    <xf numFmtId="2" fontId="73" fillId="0" borderId="61" xfId="0" applyNumberFormat="1" applyFont="1" applyBorder="1" applyAlignment="1">
      <alignment horizontal="center" vertical="center"/>
    </xf>
    <xf numFmtId="2" fontId="73" fillId="0" borderId="24" xfId="0" applyNumberFormat="1" applyFont="1" applyBorder="1" applyAlignment="1">
      <alignment horizontal="center" vertical="center"/>
    </xf>
    <xf numFmtId="2" fontId="73" fillId="0" borderId="5" xfId="0" applyNumberFormat="1" applyFont="1" applyBorder="1" applyAlignment="1">
      <alignment horizontal="center" vertical="center"/>
    </xf>
    <xf numFmtId="0" fontId="43" fillId="0" borderId="66" xfId="0" applyFont="1" applyBorder="1" applyAlignment="1">
      <alignment horizontal="center" vertical="center"/>
    </xf>
    <xf numFmtId="1" fontId="67" fillId="13" borderId="59" xfId="0" applyNumberFormat="1" applyFont="1" applyFill="1" applyBorder="1" applyAlignment="1">
      <alignment horizontal="center" vertical="center"/>
    </xf>
    <xf numFmtId="1" fontId="67" fillId="13" borderId="1" xfId="0" applyNumberFormat="1" applyFont="1" applyFill="1" applyBorder="1" applyAlignment="1">
      <alignment horizontal="center" vertical="center"/>
    </xf>
    <xf numFmtId="1" fontId="67" fillId="13" borderId="24" xfId="0" applyNumberFormat="1" applyFont="1" applyFill="1" applyBorder="1" applyAlignment="1">
      <alignment horizontal="center" vertical="center"/>
    </xf>
    <xf numFmtId="1" fontId="67" fillId="21" borderId="59" xfId="0" applyNumberFormat="1" applyFont="1" applyFill="1" applyBorder="1" applyAlignment="1">
      <alignment horizontal="center" vertical="center"/>
    </xf>
    <xf numFmtId="1" fontId="67" fillId="21" borderId="1" xfId="0" applyNumberFormat="1" applyFont="1" applyFill="1" applyBorder="1" applyAlignment="1">
      <alignment horizontal="center" vertical="center"/>
    </xf>
    <xf numFmtId="1" fontId="67" fillId="21" borderId="24" xfId="0" applyNumberFormat="1" applyFont="1" applyFill="1" applyBorder="1" applyAlignment="1">
      <alignment horizontal="center" vertical="center"/>
    </xf>
    <xf numFmtId="0" fontId="43" fillId="0" borderId="67" xfId="0" applyFont="1" applyBorder="1" applyAlignment="1">
      <alignment horizontal="center" vertical="center" wrapText="1"/>
    </xf>
    <xf numFmtId="0" fontId="43" fillId="0" borderId="0" xfId="0" applyFont="1" applyAlignment="1">
      <alignment horizontal="center" vertical="center" wrapText="1"/>
    </xf>
    <xf numFmtId="0" fontId="43" fillId="0" borderId="68" xfId="0" applyFont="1" applyBorder="1" applyAlignment="1">
      <alignment horizontal="center" vertical="center" wrapText="1"/>
    </xf>
    <xf numFmtId="1" fontId="67" fillId="21" borderId="61" xfId="0" applyNumberFormat="1" applyFont="1" applyFill="1" applyBorder="1" applyAlignment="1">
      <alignment horizontal="center" vertical="center"/>
    </xf>
    <xf numFmtId="9" fontId="11" fillId="0" borderId="0" xfId="0" applyNumberFormat="1" applyFont="1" applyAlignment="1">
      <alignment vertical="center" wrapText="1"/>
    </xf>
    <xf numFmtId="0" fontId="11" fillId="7" borderId="0" xfId="0" applyFont="1" applyFill="1" applyAlignment="1">
      <alignment vertical="center" wrapText="1"/>
    </xf>
    <xf numFmtId="0" fontId="18" fillId="0" borderId="1" xfId="5" applyBorder="1" applyAlignment="1">
      <alignment horizontal="left" wrapText="1"/>
    </xf>
    <xf numFmtId="0" fontId="44" fillId="0" borderId="1" xfId="0" applyFont="1" applyBorder="1" applyAlignment="1">
      <alignment wrapText="1"/>
    </xf>
    <xf numFmtId="0" fontId="18" fillId="0" borderId="1" xfId="5" applyBorder="1" applyAlignment="1">
      <alignment wrapText="1"/>
    </xf>
    <xf numFmtId="0" fontId="11" fillId="0" borderId="17" xfId="0" applyFont="1" applyBorder="1" applyAlignment="1">
      <alignment wrapText="1"/>
    </xf>
    <xf numFmtId="170" fontId="2" fillId="0" borderId="25" xfId="0" applyNumberFormat="1" applyFont="1" applyBorder="1" applyAlignment="1">
      <alignment horizontal="center" vertical="center"/>
    </xf>
    <xf numFmtId="170" fontId="69" fillId="21" borderId="25" xfId="0" applyNumberFormat="1" applyFont="1" applyFill="1" applyBorder="1" applyAlignment="1">
      <alignment horizontal="center" vertical="center"/>
    </xf>
    <xf numFmtId="170" fontId="69" fillId="0" borderId="0" xfId="0" applyNumberFormat="1" applyFont="1" applyAlignment="1">
      <alignment horizontal="center" vertical="center"/>
    </xf>
    <xf numFmtId="0" fontId="43" fillId="0" borderId="1" xfId="0" applyFont="1" applyBorder="1" applyAlignment="1">
      <alignment horizontal="center" vertical="center" wrapText="1"/>
    </xf>
    <xf numFmtId="0" fontId="43" fillId="0" borderId="24" xfId="0" applyFont="1" applyBorder="1" applyAlignment="1">
      <alignment horizontal="center" vertical="center" wrapText="1"/>
    </xf>
    <xf numFmtId="0" fontId="43" fillId="0" borderId="4" xfId="0" applyFont="1" applyBorder="1" applyAlignment="1">
      <alignment horizontal="center" vertical="center" wrapText="1"/>
    </xf>
    <xf numFmtId="0" fontId="43" fillId="0" borderId="62" xfId="0" applyFont="1" applyBorder="1" applyAlignment="1">
      <alignment horizontal="center" vertical="center" wrapText="1"/>
    </xf>
    <xf numFmtId="0" fontId="43" fillId="0" borderId="60" xfId="0" applyFont="1" applyBorder="1" applyAlignment="1">
      <alignment horizontal="center" vertical="center" wrapText="1"/>
    </xf>
    <xf numFmtId="0" fontId="43" fillId="0" borderId="61" xfId="0" applyFont="1" applyBorder="1" applyAlignment="1">
      <alignment horizontal="center" vertical="center" wrapText="1"/>
    </xf>
    <xf numFmtId="0" fontId="43" fillId="0" borderId="5" xfId="0" applyFont="1" applyBorder="1" applyAlignment="1">
      <alignment horizontal="center" vertical="center" wrapText="1"/>
    </xf>
    <xf numFmtId="0" fontId="28" fillId="0" borderId="0" xfId="0" applyFont="1" applyAlignment="1">
      <alignment vertical="center"/>
    </xf>
    <xf numFmtId="0" fontId="52" fillId="0" borderId="0" xfId="0" applyFont="1" applyAlignment="1">
      <alignment horizontal="left"/>
    </xf>
    <xf numFmtId="1" fontId="67" fillId="61" borderId="59" xfId="0" applyNumberFormat="1" applyFont="1" applyFill="1" applyBorder="1" applyAlignment="1">
      <alignment horizontal="center" vertical="center"/>
    </xf>
    <xf numFmtId="0" fontId="30" fillId="0" borderId="0" xfId="0" applyFont="1"/>
    <xf numFmtId="0" fontId="43" fillId="7" borderId="0" xfId="0" applyFont="1" applyFill="1" applyAlignment="1">
      <alignment horizontal="center" vertical="center" wrapText="1"/>
    </xf>
    <xf numFmtId="168" fontId="43" fillId="7" borderId="0" xfId="0" applyNumberFormat="1" applyFont="1" applyFill="1" applyAlignment="1">
      <alignment horizontal="center" vertical="center" wrapText="1"/>
    </xf>
    <xf numFmtId="0" fontId="43" fillId="7" borderId="0" xfId="0" applyFont="1" applyFill="1" applyAlignment="1">
      <alignment horizontal="left" vertical="center"/>
    </xf>
    <xf numFmtId="0" fontId="30" fillId="7" borderId="0" xfId="0" applyFont="1" applyFill="1" applyAlignment="1">
      <alignment horizontal="left"/>
    </xf>
    <xf numFmtId="0" fontId="67" fillId="0" borderId="59" xfId="0" applyFont="1" applyBorder="1" applyAlignment="1">
      <alignment horizontal="center" vertical="center" wrapText="1"/>
    </xf>
    <xf numFmtId="0" fontId="67" fillId="0" borderId="1" xfId="0" applyFont="1" applyBorder="1" applyAlignment="1">
      <alignment horizontal="center" vertical="center" wrapText="1"/>
    </xf>
    <xf numFmtId="0" fontId="67" fillId="0" borderId="24" xfId="0" applyFont="1" applyBorder="1" applyAlignment="1">
      <alignment horizontal="center" vertical="center" wrapText="1"/>
    </xf>
    <xf numFmtId="1" fontId="67" fillId="0" borderId="59" xfId="0" applyNumberFormat="1" applyFont="1" applyBorder="1" applyAlignment="1">
      <alignment horizontal="center" vertical="center"/>
    </xf>
    <xf numFmtId="0" fontId="67" fillId="0" borderId="15" xfId="0" applyFont="1" applyBorder="1" applyAlignment="1">
      <alignment horizontal="center" vertical="center" wrapText="1"/>
    </xf>
    <xf numFmtId="0" fontId="67" fillId="0" borderId="69" xfId="0" applyFont="1" applyBorder="1" applyAlignment="1">
      <alignment horizontal="center" vertical="center" wrapText="1"/>
    </xf>
    <xf numFmtId="1" fontId="2" fillId="0" borderId="1" xfId="7" applyNumberFormat="1" applyFont="1" applyBorder="1" applyAlignment="1">
      <alignment horizontal="center" vertical="center" wrapText="1"/>
    </xf>
    <xf numFmtId="0" fontId="40" fillId="0" borderId="1" xfId="3" applyFont="1" applyFill="1" applyBorder="1" applyAlignment="1">
      <alignment horizontal="center" vertical="center" wrapText="1"/>
    </xf>
    <xf numFmtId="3" fontId="40" fillId="0" borderId="1" xfId="3" applyNumberFormat="1" applyFont="1" applyFill="1" applyBorder="1" applyAlignment="1">
      <alignment horizontal="center" vertical="center" wrapText="1"/>
    </xf>
    <xf numFmtId="9" fontId="41" fillId="0" borderId="1" xfId="2" applyFont="1" applyFill="1" applyBorder="1" applyAlignment="1">
      <alignment horizontal="center" vertical="center" wrapText="1"/>
    </xf>
    <xf numFmtId="3" fontId="41" fillId="0" borderId="1" xfId="3" applyNumberFormat="1" applyFont="1" applyFill="1" applyBorder="1" applyAlignment="1">
      <alignment horizontal="center" vertical="center" wrapText="1"/>
    </xf>
    <xf numFmtId="3" fontId="17" fillId="0" borderId="1" xfId="7" applyNumberFormat="1" applyFont="1" applyBorder="1" applyAlignment="1">
      <alignment horizontal="center" vertical="center"/>
    </xf>
    <xf numFmtId="1" fontId="40" fillId="0" borderId="1" xfId="7" applyNumberFormat="1" applyFont="1" applyBorder="1" applyAlignment="1">
      <alignment horizontal="center" vertical="center"/>
    </xf>
    <xf numFmtId="1" fontId="40" fillId="0" borderId="1" xfId="7" applyNumberFormat="1" applyFont="1" applyBorder="1" applyAlignment="1">
      <alignment horizontal="center" vertical="center" wrapText="1"/>
    </xf>
    <xf numFmtId="1" fontId="40" fillId="0" borderId="0" xfId="7" applyNumberFormat="1" applyFont="1" applyAlignment="1">
      <alignment horizontal="center" vertical="center"/>
    </xf>
    <xf numFmtId="0" fontId="44" fillId="0" borderId="13" xfId="0" applyFont="1" applyBorder="1" applyAlignment="1">
      <alignment horizontal="center" vertical="center"/>
    </xf>
    <xf numFmtId="0" fontId="43" fillId="0" borderId="0" xfId="0" applyFont="1" applyAlignment="1">
      <alignment horizontal="left" vertical="center" wrapText="1"/>
    </xf>
    <xf numFmtId="0" fontId="67" fillId="0" borderId="8" xfId="0" applyFont="1" applyBorder="1" applyAlignment="1">
      <alignment horizontal="center" vertical="center"/>
    </xf>
    <xf numFmtId="168" fontId="0" fillId="0" borderId="0" xfId="0" applyNumberFormat="1"/>
    <xf numFmtId="0" fontId="11" fillId="0" borderId="42" xfId="25" applyFont="1" applyFill="1" applyAlignment="1">
      <alignment horizontal="center" vertical="center" wrapText="1"/>
    </xf>
    <xf numFmtId="0" fontId="2" fillId="0" borderId="1" xfId="1" quotePrefix="1" applyBorder="1" applyAlignment="1">
      <alignment vertical="center"/>
    </xf>
    <xf numFmtId="0" fontId="0" fillId="0" borderId="0" xfId="7" applyFont="1" applyAlignment="1">
      <alignment wrapText="1"/>
    </xf>
    <xf numFmtId="164" fontId="11" fillId="0" borderId="1" xfId="2" applyNumberFormat="1" applyFont="1" applyBorder="1" applyAlignment="1">
      <alignment horizontal="center" vertical="center"/>
    </xf>
    <xf numFmtId="0" fontId="0" fillId="0" borderId="9" xfId="0" applyBorder="1"/>
    <xf numFmtId="0" fontId="0" fillId="0" borderId="11" xfId="0" applyBorder="1"/>
    <xf numFmtId="0" fontId="0" fillId="0" borderId="10" xfId="0" applyBorder="1"/>
    <xf numFmtId="0" fontId="0" fillId="0" borderId="17" xfId="0" applyBorder="1"/>
    <xf numFmtId="0" fontId="0" fillId="0" borderId="16" xfId="0" applyBorder="1"/>
    <xf numFmtId="0" fontId="0" fillId="0" borderId="18" xfId="0" applyBorder="1"/>
    <xf numFmtId="0" fontId="0" fillId="0" borderId="13" xfId="0" applyBorder="1"/>
    <xf numFmtId="0" fontId="0" fillId="0" borderId="14" xfId="0" applyBorder="1"/>
    <xf numFmtId="11" fontId="0" fillId="0" borderId="13" xfId="0" applyNumberFormat="1" applyBorder="1"/>
    <xf numFmtId="11" fontId="0" fillId="0" borderId="14" xfId="0" applyNumberFormat="1" applyBorder="1"/>
    <xf numFmtId="0" fontId="22" fillId="9" borderId="0" xfId="0" applyFont="1" applyFill="1"/>
    <xf numFmtId="0" fontId="0" fillId="9" borderId="0" xfId="0" applyFill="1"/>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20" borderId="13" xfId="0" applyFill="1" applyBorder="1"/>
    <xf numFmtId="0" fontId="0" fillId="20" borderId="0" xfId="0" applyFill="1"/>
    <xf numFmtId="0" fontId="0" fillId="20" borderId="14" xfId="0" applyFill="1" applyBorder="1"/>
    <xf numFmtId="0" fontId="0" fillId="20" borderId="16" xfId="0" applyFill="1" applyBorder="1"/>
    <xf numFmtId="0" fontId="0" fillId="20" borderId="17" xfId="0" applyFill="1" applyBorder="1"/>
    <xf numFmtId="0" fontId="0" fillId="20" borderId="18" xfId="0" applyFill="1" applyBorder="1"/>
    <xf numFmtId="0" fontId="79" fillId="0" borderId="0" xfId="0" applyFont="1"/>
    <xf numFmtId="0" fontId="79" fillId="2" borderId="0" xfId="0" applyFont="1" applyFill="1"/>
    <xf numFmtId="0" fontId="0" fillId="2" borderId="0" xfId="0" applyFill="1" applyAlignment="1">
      <alignment vertical="center"/>
    </xf>
    <xf numFmtId="0" fontId="80" fillId="2" borderId="0" xfId="0" applyFont="1" applyFill="1" applyAlignment="1">
      <alignment vertical="center"/>
    </xf>
    <xf numFmtId="0" fontId="4" fillId="62" borderId="0" xfId="0" applyFont="1" applyFill="1" applyAlignment="1">
      <alignment vertical="center"/>
    </xf>
    <xf numFmtId="0" fontId="0" fillId="62" borderId="0" xfId="0" applyFill="1" applyAlignment="1">
      <alignment vertical="center"/>
    </xf>
    <xf numFmtId="0" fontId="80" fillId="15" borderId="0" xfId="0" applyFont="1" applyFill="1" applyAlignment="1">
      <alignment vertical="center"/>
    </xf>
    <xf numFmtId="0" fontId="0" fillId="15" borderId="0" xfId="0" applyFill="1" applyAlignment="1">
      <alignment vertical="center"/>
    </xf>
    <xf numFmtId="0" fontId="81" fillId="0" borderId="0" xfId="0" applyFont="1" applyAlignment="1">
      <alignment vertical="center"/>
    </xf>
    <xf numFmtId="1" fontId="2" fillId="0" borderId="1" xfId="0" applyNumberFormat="1" applyFont="1" applyBorder="1" applyAlignment="1">
      <alignment horizontal="center" vertical="center"/>
    </xf>
    <xf numFmtId="1" fontId="11" fillId="0" borderId="1" xfId="0" applyNumberFormat="1" applyFont="1" applyBorder="1" applyAlignment="1">
      <alignment horizontal="center"/>
    </xf>
    <xf numFmtId="0" fontId="45" fillId="63" borderId="72" xfId="0" applyFont="1" applyFill="1" applyBorder="1" applyAlignment="1">
      <alignment horizontal="center" vertical="center" wrapText="1"/>
    </xf>
    <xf numFmtId="0" fontId="45" fillId="63" borderId="74" xfId="0" applyFont="1" applyFill="1" applyBorder="1" applyAlignment="1">
      <alignment horizontal="center" vertical="center" wrapText="1"/>
    </xf>
    <xf numFmtId="0" fontId="45" fillId="63" borderId="75" xfId="0" applyFont="1" applyFill="1" applyBorder="1" applyAlignment="1">
      <alignment horizontal="center" vertical="center" wrapText="1"/>
    </xf>
    <xf numFmtId="0" fontId="45" fillId="63" borderId="76" xfId="0" applyFont="1" applyFill="1" applyBorder="1" applyAlignment="1">
      <alignment horizontal="center" vertical="center" wrapText="1"/>
    </xf>
    <xf numFmtId="0" fontId="45" fillId="63" borderId="77" xfId="0" applyFont="1" applyFill="1" applyBorder="1" applyAlignment="1">
      <alignment horizontal="center" vertical="center" wrapText="1"/>
    </xf>
    <xf numFmtId="0" fontId="45" fillId="63" borderId="79" xfId="0" applyFont="1" applyFill="1" applyBorder="1" applyAlignment="1">
      <alignment horizontal="center" vertical="center" wrapText="1"/>
    </xf>
    <xf numFmtId="0" fontId="45" fillId="63" borderId="80" xfId="0" applyFont="1" applyFill="1" applyBorder="1" applyAlignment="1">
      <alignment horizontal="center" vertical="center" wrapText="1"/>
    </xf>
    <xf numFmtId="0" fontId="45" fillId="63" borderId="82" xfId="0" applyFont="1" applyFill="1" applyBorder="1" applyAlignment="1">
      <alignment horizontal="center" vertical="center" wrapText="1"/>
    </xf>
    <xf numFmtId="0" fontId="0" fillId="0" borderId="1" xfId="0" applyBorder="1" applyAlignment="1">
      <alignment wrapText="1"/>
    </xf>
    <xf numFmtId="0" fontId="0" fillId="0" borderId="1" xfId="0" quotePrefix="1" applyBorder="1" applyAlignment="1">
      <alignment horizontal="center" vertical="center"/>
    </xf>
    <xf numFmtId="0" fontId="0" fillId="62" borderId="0" xfId="0" applyFill="1" applyAlignment="1">
      <alignment vertical="top" wrapText="1"/>
    </xf>
    <xf numFmtId="0" fontId="29" fillId="25" borderId="2" xfId="1" applyFont="1" applyFill="1" applyBorder="1" applyAlignment="1">
      <alignment horizontal="center" vertical="center" wrapText="1"/>
    </xf>
    <xf numFmtId="0" fontId="29" fillId="25" borderId="6" xfId="1" applyFont="1" applyFill="1" applyBorder="1" applyAlignment="1">
      <alignment horizontal="center" vertical="center" wrapText="1"/>
    </xf>
    <xf numFmtId="3" fontId="11" fillId="0" borderId="1" xfId="7" applyNumberFormat="1" applyFont="1" applyBorder="1" applyAlignment="1">
      <alignment horizontal="center" vertical="center"/>
    </xf>
    <xf numFmtId="0" fontId="29" fillId="25" borderId="0" xfId="0" applyFont="1" applyFill="1" applyAlignment="1">
      <alignment horizontal="center" vertical="center"/>
    </xf>
    <xf numFmtId="0" fontId="0" fillId="0" borderId="0" xfId="0" applyAlignment="1">
      <alignment horizontal="center"/>
    </xf>
    <xf numFmtId="164" fontId="11" fillId="0" borderId="8" xfId="7" applyNumberFormat="1" applyFont="1" applyBorder="1" applyAlignment="1">
      <alignment horizontal="center" vertical="center"/>
    </xf>
    <xf numFmtId="0" fontId="0" fillId="0" borderId="15" xfId="0" applyBorder="1" applyAlignment="1">
      <alignment horizontal="center" vertical="center"/>
    </xf>
    <xf numFmtId="0" fontId="26" fillId="0" borderId="1" xfId="3" applyFont="1" applyFill="1" applyBorder="1" applyAlignment="1">
      <alignment horizontal="center" vertical="center" wrapText="1"/>
    </xf>
    <xf numFmtId="0" fontId="11" fillId="0" borderId="1" xfId="0" applyFont="1" applyBorder="1" applyAlignment="1">
      <alignment horizontal="center" vertical="center"/>
    </xf>
    <xf numFmtId="164" fontId="11" fillId="0" borderId="1" xfId="2" applyNumberFormat="1" applyFont="1" applyBorder="1" applyAlignment="1">
      <alignment horizontal="center" vertical="center"/>
    </xf>
    <xf numFmtId="0" fontId="0" fillId="0" borderId="1" xfId="0" applyBorder="1" applyAlignment="1">
      <alignment horizontal="center" vertical="center"/>
    </xf>
    <xf numFmtId="0" fontId="29" fillId="25" borderId="45" xfId="0" applyFont="1" applyFill="1" applyBorder="1" applyAlignment="1">
      <alignment horizontal="center" vertical="center" wrapText="1"/>
    </xf>
    <xf numFmtId="0" fontId="11" fillId="0" borderId="1" xfId="0" applyFont="1" applyBorder="1" applyAlignment="1">
      <alignment horizontal="center" vertical="center" wrapText="1"/>
    </xf>
    <xf numFmtId="0" fontId="17" fillId="20" borderId="46" xfId="0" applyFont="1" applyFill="1" applyBorder="1" applyAlignment="1">
      <alignment horizontal="center" vertical="center" wrapText="1"/>
    </xf>
    <xf numFmtId="0" fontId="17" fillId="20" borderId="47" xfId="0" applyFont="1" applyFill="1" applyBorder="1" applyAlignment="1">
      <alignment horizontal="center" vertical="center" wrapText="1"/>
    </xf>
    <xf numFmtId="0" fontId="17" fillId="20" borderId="44" xfId="0" applyFont="1" applyFill="1" applyBorder="1" applyAlignment="1">
      <alignment horizontal="center" vertical="center" wrapText="1"/>
    </xf>
    <xf numFmtId="0" fontId="11" fillId="0" borderId="33" xfId="0" applyFont="1" applyBorder="1" applyAlignment="1">
      <alignment horizontal="center" vertical="center" wrapText="1"/>
    </xf>
    <xf numFmtId="168" fontId="2" fillId="0" borderId="46" xfId="0" applyNumberFormat="1" applyFont="1" applyBorder="1" applyAlignment="1">
      <alignment horizontal="center" vertical="center" wrapText="1"/>
    </xf>
    <xf numFmtId="168" fontId="2" fillId="0" borderId="47" xfId="0" applyNumberFormat="1" applyFont="1" applyBorder="1" applyAlignment="1">
      <alignment horizontal="center" vertical="center" wrapText="1"/>
    </xf>
    <xf numFmtId="168" fontId="2" fillId="0" borderId="44" xfId="0" applyNumberFormat="1" applyFont="1" applyBorder="1" applyAlignment="1">
      <alignment horizontal="center" vertical="center" wrapText="1"/>
    </xf>
    <xf numFmtId="0" fontId="3" fillId="0" borderId="0" xfId="7" applyAlignment="1">
      <alignment wrapText="1"/>
    </xf>
    <xf numFmtId="0" fontId="29" fillId="25" borderId="0" xfId="0" applyFont="1" applyFill="1" applyAlignment="1">
      <alignment horizontal="center" vertical="center" wrapText="1"/>
    </xf>
    <xf numFmtId="0" fontId="2" fillId="0" borderId="1" xfId="0" applyFont="1" applyBorder="1" applyAlignment="1">
      <alignment horizontal="center" vertical="center" wrapText="1"/>
    </xf>
    <xf numFmtId="0" fontId="53" fillId="28" borderId="1" xfId="0" applyFont="1" applyFill="1" applyBorder="1" applyAlignment="1">
      <alignment horizontal="center" vertical="center"/>
    </xf>
    <xf numFmtId="0" fontId="29" fillId="25" borderId="17" xfId="0" applyFont="1" applyFill="1" applyBorder="1" applyAlignment="1">
      <alignment horizontal="center" vertical="center" wrapText="1"/>
    </xf>
    <xf numFmtId="0" fontId="29" fillId="25" borderId="1" xfId="0" applyFont="1" applyFill="1" applyBorder="1" applyAlignment="1">
      <alignment horizontal="center" vertical="center" wrapText="1"/>
    </xf>
    <xf numFmtId="0" fontId="11" fillId="60" borderId="1" xfId="0" quotePrefix="1" applyFont="1" applyFill="1" applyBorder="1" applyAlignment="1">
      <alignment horizontal="center" vertical="center" wrapText="1"/>
    </xf>
    <xf numFmtId="0" fontId="22" fillId="0" borderId="0" xfId="0" applyFont="1" applyAlignment="1">
      <alignment horizontal="center" vertical="center"/>
    </xf>
    <xf numFmtId="0" fontId="24" fillId="18" borderId="2" xfId="0" applyFont="1" applyFill="1" applyBorder="1" applyAlignment="1">
      <alignment horizontal="center" vertical="center" wrapText="1"/>
    </xf>
    <xf numFmtId="0" fontId="24" fillId="18" borderId="6" xfId="0" applyFont="1" applyFill="1" applyBorder="1" applyAlignment="1">
      <alignment horizontal="center" vertical="center" wrapText="1"/>
    </xf>
    <xf numFmtId="0" fontId="24" fillId="14"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4" fillId="11" borderId="1"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3" xfId="0" applyBorder="1" applyAlignment="1">
      <alignment horizontal="center" vertical="center" wrapText="1"/>
    </xf>
    <xf numFmtId="0" fontId="0" fillId="0" borderId="16" xfId="0" applyBorder="1" applyAlignment="1">
      <alignment horizontal="center" vertical="center" wrapText="1"/>
    </xf>
    <xf numFmtId="0" fontId="0" fillId="0" borderId="8" xfId="0" applyBorder="1" applyAlignment="1">
      <alignment horizontal="center" vertical="center" wrapText="1"/>
    </xf>
    <xf numFmtId="0" fontId="0" fillId="0" borderId="15" xfId="0" applyBorder="1" applyAlignment="1">
      <alignment horizontal="center" vertical="center" wrapText="1"/>
    </xf>
    <xf numFmtId="0" fontId="0" fillId="0" borderId="12" xfId="0" applyBorder="1" applyAlignment="1">
      <alignment horizontal="center" vertical="center" wrapText="1"/>
    </xf>
    <xf numFmtId="0" fontId="0" fillId="0" borderId="2"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wrapText="1"/>
    </xf>
    <xf numFmtId="0" fontId="44" fillId="0" borderId="1" xfId="0" applyFont="1" applyBorder="1" applyAlignment="1">
      <alignment horizontal="center" vertical="center" wrapText="1"/>
    </xf>
    <xf numFmtId="0" fontId="44" fillId="0" borderId="1" xfId="0" applyFont="1" applyBorder="1" applyAlignment="1">
      <alignment horizontal="center" vertical="center"/>
    </xf>
    <xf numFmtId="0" fontId="45" fillId="63" borderId="72" xfId="0" applyFont="1" applyFill="1" applyBorder="1" applyAlignment="1">
      <alignment horizontal="center" vertical="center" wrapText="1"/>
    </xf>
    <xf numFmtId="0" fontId="45" fillId="63" borderId="78" xfId="0" applyFont="1" applyFill="1" applyBorder="1" applyAlignment="1">
      <alignment horizontal="center" vertical="center" wrapText="1"/>
    </xf>
    <xf numFmtId="0" fontId="45" fillId="63" borderId="73" xfId="0" applyFont="1" applyFill="1" applyBorder="1" applyAlignment="1">
      <alignment horizontal="center" vertical="center" wrapText="1"/>
    </xf>
    <xf numFmtId="0" fontId="45" fillId="63" borderId="81" xfId="0" applyFont="1" applyFill="1" applyBorder="1" applyAlignment="1">
      <alignment horizontal="center" vertical="center" wrapText="1"/>
    </xf>
    <xf numFmtId="0" fontId="45" fillId="63" borderId="77" xfId="0" applyFont="1" applyFill="1" applyBorder="1" applyAlignment="1">
      <alignment horizontal="center" vertical="center" wrapText="1"/>
    </xf>
    <xf numFmtId="0" fontId="0" fillId="0" borderId="1" xfId="0" applyBorder="1" applyAlignment="1">
      <alignment horizontal="left"/>
    </xf>
    <xf numFmtId="0" fontId="0" fillId="13" borderId="17" xfId="0" applyFill="1" applyBorder="1" applyAlignment="1">
      <alignment horizontal="center"/>
    </xf>
    <xf numFmtId="0" fontId="23" fillId="0" borderId="0" xfId="0" applyFont="1" applyAlignment="1">
      <alignment horizontal="center"/>
    </xf>
    <xf numFmtId="0" fontId="21" fillId="26" borderId="0" xfId="0" applyFont="1" applyFill="1" applyAlignment="1">
      <alignment horizontal="center" vertical="center"/>
    </xf>
    <xf numFmtId="0" fontId="0" fillId="0" borderId="0" xfId="0" applyAlignment="1">
      <alignment horizontal="center" wrapText="1"/>
    </xf>
    <xf numFmtId="0" fontId="24" fillId="25" borderId="13" xfId="0" applyFont="1" applyFill="1" applyBorder="1" applyAlignment="1">
      <alignment horizontal="center" vertical="center" wrapText="1"/>
    </xf>
    <xf numFmtId="0" fontId="24" fillId="25" borderId="0" xfId="0" applyFont="1" applyFill="1" applyAlignment="1">
      <alignment horizontal="center" vertical="center" wrapText="1"/>
    </xf>
    <xf numFmtId="0" fontId="4" fillId="20" borderId="1" xfId="0" applyFont="1" applyFill="1" applyBorder="1" applyAlignment="1">
      <alignment horizontal="center" vertical="center"/>
    </xf>
    <xf numFmtId="0" fontId="21" fillId="25" borderId="0" xfId="0" applyFont="1" applyFill="1" applyAlignment="1">
      <alignment horizontal="center" vertical="center"/>
    </xf>
    <xf numFmtId="0" fontId="0" fillId="0" borderId="1" xfId="0" applyBorder="1" applyAlignment="1">
      <alignment horizontal="left" wrapText="1"/>
    </xf>
    <xf numFmtId="0" fontId="29" fillId="25" borderId="52" xfId="0" applyFont="1" applyFill="1" applyBorder="1" applyAlignment="1">
      <alignment horizontal="center" vertical="center"/>
    </xf>
    <xf numFmtId="0" fontId="29" fillId="25" borderId="51" xfId="0" applyFont="1" applyFill="1" applyBorder="1" applyAlignment="1">
      <alignment horizontal="center" vertical="center"/>
    </xf>
    <xf numFmtId="0" fontId="11" fillId="0" borderId="7" xfId="0" applyFont="1" applyBorder="1" applyAlignment="1">
      <alignment horizontal="center" vertical="center" wrapText="1"/>
    </xf>
    <xf numFmtId="0" fontId="17" fillId="20" borderId="63" xfId="0" applyFont="1" applyFill="1" applyBorder="1" applyAlignment="1">
      <alignment horizontal="center" vertical="center"/>
    </xf>
    <xf numFmtId="0" fontId="17" fillId="20" borderId="64" xfId="0" applyFont="1" applyFill="1" applyBorder="1" applyAlignment="1">
      <alignment horizontal="center" vertical="center"/>
    </xf>
    <xf numFmtId="0" fontId="17" fillId="20" borderId="65" xfId="0" applyFont="1" applyFill="1" applyBorder="1" applyAlignment="1">
      <alignment horizontal="center" vertical="center"/>
    </xf>
    <xf numFmtId="0" fontId="43" fillId="0" borderId="3" xfId="0" applyFont="1" applyBorder="1" applyAlignment="1">
      <alignment horizontal="center" vertical="center" wrapText="1"/>
    </xf>
    <xf numFmtId="0" fontId="43" fillId="0" borderId="4" xfId="0" applyFont="1" applyBorder="1" applyAlignment="1">
      <alignment horizontal="center" vertical="center" wrapText="1"/>
    </xf>
    <xf numFmtId="0" fontId="43" fillId="0" borderId="62" xfId="0" applyFont="1" applyBorder="1" applyAlignment="1">
      <alignment horizontal="center" vertical="center" wrapText="1"/>
    </xf>
    <xf numFmtId="0" fontId="43" fillId="0" borderId="59"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24" xfId="0" applyFont="1" applyBorder="1" applyAlignment="1">
      <alignment horizontal="center" vertical="center" wrapText="1"/>
    </xf>
    <xf numFmtId="0" fontId="43" fillId="0" borderId="53" xfId="0" applyFont="1" applyBorder="1" applyAlignment="1">
      <alignment horizontal="center" vertical="center" wrapText="1"/>
    </xf>
    <xf numFmtId="0" fontId="43" fillId="0" borderId="54" xfId="0" applyFont="1" applyBorder="1" applyAlignment="1">
      <alignment horizontal="center" vertical="center" wrapText="1"/>
    </xf>
    <xf numFmtId="0" fontId="43" fillId="0" borderId="57" xfId="0" applyFont="1" applyBorder="1" applyAlignment="1">
      <alignment horizontal="center" vertical="center" wrapText="1"/>
    </xf>
    <xf numFmtId="0" fontId="43" fillId="0" borderId="70" xfId="0" applyFont="1" applyBorder="1" applyAlignment="1">
      <alignment horizontal="center" vertical="center" wrapText="1"/>
    </xf>
    <xf numFmtId="0" fontId="43" fillId="0" borderId="31" xfId="0" applyFont="1" applyBorder="1" applyAlignment="1">
      <alignment horizontal="center" vertical="center" wrapText="1"/>
    </xf>
    <xf numFmtId="0" fontId="43" fillId="0" borderId="15" xfId="0" applyFont="1" applyBorder="1" applyAlignment="1">
      <alignment horizontal="center" vertical="center" wrapText="1"/>
    </xf>
    <xf numFmtId="0" fontId="43" fillId="0" borderId="8" xfId="0" applyFont="1" applyBorder="1" applyAlignment="1">
      <alignment horizontal="center" vertical="center" wrapText="1"/>
    </xf>
    <xf numFmtId="0" fontId="43" fillId="0" borderId="71" xfId="0" applyFont="1" applyBorder="1" applyAlignment="1">
      <alignment horizontal="center" vertical="center" wrapText="1"/>
    </xf>
    <xf numFmtId="0" fontId="43" fillId="0" borderId="55" xfId="0" applyFont="1" applyBorder="1" applyAlignment="1">
      <alignment horizontal="center" vertical="center" wrapText="1"/>
    </xf>
    <xf numFmtId="0" fontId="43" fillId="0" borderId="3" xfId="0" applyFont="1" applyBorder="1" applyAlignment="1">
      <alignment horizontal="center" vertical="center"/>
    </xf>
    <xf numFmtId="0" fontId="43" fillId="0" borderId="4" xfId="0" applyFont="1" applyBorder="1" applyAlignment="1">
      <alignment horizontal="center" vertical="center"/>
    </xf>
    <xf numFmtId="0" fontId="43" fillId="0" borderId="62" xfId="0" applyFont="1" applyBorder="1" applyAlignment="1">
      <alignment horizontal="center" vertical="center"/>
    </xf>
    <xf numFmtId="0" fontId="17" fillId="20" borderId="1" xfId="0" applyFont="1" applyFill="1" applyBorder="1" applyAlignment="1">
      <alignment horizontal="center" vertical="center"/>
    </xf>
    <xf numFmtId="0" fontId="17" fillId="20" borderId="8" xfId="0" applyFont="1" applyFill="1" applyBorder="1" applyAlignment="1">
      <alignment horizontal="center" vertical="center"/>
    </xf>
    <xf numFmtId="0" fontId="40" fillId="20" borderId="1" xfId="0" applyFont="1" applyFill="1" applyBorder="1" applyAlignment="1">
      <alignment horizontal="center" vertical="center" wrapText="1"/>
    </xf>
    <xf numFmtId="0" fontId="67" fillId="0" borderId="59" xfId="0" applyFont="1" applyBorder="1" applyAlignment="1">
      <alignment horizontal="center" vertical="center" wrapText="1"/>
    </xf>
    <xf numFmtId="0" fontId="67" fillId="0" borderId="1" xfId="0" applyFont="1" applyBorder="1" applyAlignment="1">
      <alignment horizontal="center" vertical="center" wrapText="1"/>
    </xf>
    <xf numFmtId="0" fontId="67" fillId="0" borderId="24" xfId="0" applyFont="1" applyBorder="1" applyAlignment="1">
      <alignment horizontal="center" vertical="center" wrapText="1"/>
    </xf>
    <xf numFmtId="0" fontId="43" fillId="0" borderId="28"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30" xfId="0" applyFont="1" applyBorder="1" applyAlignment="1">
      <alignment horizontal="center" vertical="center" wrapText="1"/>
    </xf>
    <xf numFmtId="0" fontId="17" fillId="20" borderId="1" xfId="0" applyFont="1" applyFill="1" applyBorder="1" applyAlignment="1">
      <alignment horizontal="center" vertical="center" wrapText="1"/>
    </xf>
    <xf numFmtId="0" fontId="17" fillId="20" borderId="8" xfId="0" applyFont="1" applyFill="1" applyBorder="1" applyAlignment="1">
      <alignment horizontal="center" vertical="center" wrapText="1"/>
    </xf>
    <xf numFmtId="0" fontId="11" fillId="0" borderId="23"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2" fontId="2" fillId="0" borderId="22" xfId="0" applyNumberFormat="1" applyFont="1" applyBorder="1" applyAlignment="1">
      <alignment horizontal="center" vertical="center"/>
    </xf>
    <xf numFmtId="2" fontId="2" fillId="0" borderId="20" xfId="0" applyNumberFormat="1" applyFont="1" applyBorder="1" applyAlignment="1">
      <alignment horizontal="center" vertical="center"/>
    </xf>
    <xf numFmtId="2" fontId="2" fillId="0" borderId="21" xfId="0" applyNumberFormat="1" applyFont="1" applyBorder="1" applyAlignment="1">
      <alignment horizontal="center" vertical="center"/>
    </xf>
    <xf numFmtId="0" fontId="45" fillId="20" borderId="25" xfId="0" applyFont="1" applyFill="1" applyBorder="1" applyAlignment="1">
      <alignment horizontal="center" vertical="center"/>
    </xf>
    <xf numFmtId="0" fontId="11" fillId="0" borderId="25" xfId="0" applyFont="1" applyBorder="1" applyAlignment="1">
      <alignment horizontal="center" vertical="center"/>
    </xf>
    <xf numFmtId="0" fontId="42" fillId="0" borderId="0" xfId="0" applyFont="1" applyAlignment="1">
      <alignment horizontal="center" wrapText="1"/>
    </xf>
    <xf numFmtId="9" fontId="11" fillId="0" borderId="49" xfId="2" applyFont="1" applyFill="1" applyBorder="1" applyAlignment="1">
      <alignment horizontal="center" vertical="center"/>
    </xf>
    <xf numFmtId="9" fontId="11" fillId="0" borderId="17" xfId="2" applyFont="1" applyFill="1" applyBorder="1" applyAlignment="1">
      <alignment horizontal="center" vertical="center"/>
    </xf>
    <xf numFmtId="0" fontId="45" fillId="20" borderId="26" xfId="0" applyFont="1" applyFill="1" applyBorder="1" applyAlignment="1">
      <alignment horizontal="center" vertical="center"/>
    </xf>
    <xf numFmtId="0" fontId="0" fillId="0" borderId="27" xfId="0" applyBorder="1" applyAlignment="1">
      <alignment horizontal="center" vertical="center"/>
    </xf>
    <xf numFmtId="0" fontId="29" fillId="25" borderId="58" xfId="0" applyFont="1" applyFill="1" applyBorder="1" applyAlignment="1">
      <alignment horizontal="center" vertical="center" wrapText="1"/>
    </xf>
    <xf numFmtId="0" fontId="11" fillId="21" borderId="25" xfId="0" applyFont="1" applyFill="1" applyBorder="1" applyAlignment="1">
      <alignment horizontal="left" vertical="center"/>
    </xf>
    <xf numFmtId="0" fontId="29" fillId="25" borderId="25" xfId="0" applyFont="1" applyFill="1" applyBorder="1" applyAlignment="1">
      <alignment horizontal="center" vertical="center"/>
    </xf>
    <xf numFmtId="0" fontId="45" fillId="20" borderId="26" xfId="0" applyFont="1" applyFill="1" applyBorder="1" applyAlignment="1">
      <alignment horizontal="center" vertical="center" wrapText="1"/>
    </xf>
    <xf numFmtId="0" fontId="45" fillId="20" borderId="27" xfId="0" applyFont="1" applyFill="1" applyBorder="1" applyAlignment="1">
      <alignment horizontal="center" vertical="center" wrapText="1"/>
    </xf>
    <xf numFmtId="0" fontId="11" fillId="0" borderId="0" xfId="0" applyFont="1" applyAlignment="1">
      <alignment vertical="center" wrapText="1"/>
    </xf>
    <xf numFmtId="0" fontId="11" fillId="0" borderId="1" xfId="0" applyFont="1" applyBorder="1" applyAlignment="1">
      <alignment horizontal="left" vertical="center"/>
    </xf>
    <xf numFmtId="0" fontId="11" fillId="0" borderId="1" xfId="0" applyFont="1" applyBorder="1" applyAlignment="1">
      <alignment horizontal="left" vertical="center" wrapText="1"/>
    </xf>
    <xf numFmtId="0" fontId="16" fillId="4" borderId="2" xfId="4" applyFont="1" applyFill="1" applyBorder="1" applyAlignment="1">
      <alignment horizontal="center"/>
    </xf>
    <xf numFmtId="0" fontId="16" fillId="4" borderId="6" xfId="4" applyFont="1" applyFill="1" applyBorder="1" applyAlignment="1">
      <alignment horizontal="center"/>
    </xf>
    <xf numFmtId="0" fontId="16" fillId="4" borderId="7" xfId="4" applyFont="1" applyFill="1" applyBorder="1" applyAlignment="1">
      <alignment horizontal="center"/>
    </xf>
    <xf numFmtId="0" fontId="1" fillId="15" borderId="0" xfId="0" applyFont="1" applyFill="1" applyAlignment="1">
      <alignment horizontal="center" vertical="center"/>
    </xf>
    <xf numFmtId="0" fontId="12" fillId="0" borderId="0" xfId="4" applyFont="1" applyAlignment="1">
      <alignment horizontal="center"/>
    </xf>
    <xf numFmtId="0" fontId="0" fillId="0" borderId="14" xfId="0" applyBorder="1" applyAlignment="1">
      <alignment horizontal="center" wrapText="1"/>
    </xf>
    <xf numFmtId="0" fontId="28" fillId="15" borderId="0" xfId="0" applyFont="1" applyFill="1" applyAlignment="1">
      <alignment vertical="center" wrapText="1"/>
    </xf>
    <xf numFmtId="0" fontId="28" fillId="15" borderId="0" xfId="0" applyFont="1" applyFill="1" applyAlignment="1">
      <alignment vertical="center"/>
    </xf>
    <xf numFmtId="0" fontId="28" fillId="2" borderId="0" xfId="0" applyFont="1" applyFill="1" applyAlignment="1">
      <alignment vertical="center" wrapText="1"/>
    </xf>
    <xf numFmtId="0" fontId="28" fillId="2" borderId="0" xfId="0" applyFont="1" applyFill="1" applyAlignment="1">
      <alignment vertical="center"/>
    </xf>
    <xf numFmtId="0" fontId="67" fillId="0" borderId="0" xfId="0" applyFont="1"/>
    <xf numFmtId="0" fontId="28" fillId="2" borderId="0" xfId="0" applyFont="1" applyFill="1" applyAlignment="1">
      <alignment wrapText="1"/>
    </xf>
    <xf numFmtId="0" fontId="28" fillId="2" borderId="0" xfId="0" applyFont="1" applyFill="1"/>
  </cellXfs>
  <cellStyles count="56">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8" xr:uid="{742F182D-DE19-4ABD-8125-542911AC2871}"/>
    <cellStyle name="60% - Accent2 2" xfId="49" xr:uid="{C203D7A7-4D1E-4E4D-9A55-425F304335D3}"/>
    <cellStyle name="60% - Accent3 2" xfId="50" xr:uid="{D575A5F1-76FC-4DEE-A89E-DFDABCBF86AA}"/>
    <cellStyle name="60% - Accent4 2" xfId="51" xr:uid="{D57D9030-641B-49DF-B44E-F0A7AC7C8BB7}"/>
    <cellStyle name="60% - Accent5 2" xfId="52" xr:uid="{EA6BFE8E-04CA-4DDE-A801-C5177F36DCFD}"/>
    <cellStyle name="60% - Accent6 2" xfId="53" xr:uid="{B263CC10-573D-4AC3-9866-0BC54A3DA634}"/>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8" builtinId="27" customBuiltin="1"/>
    <cellStyle name="Calculation" xfId="21" builtinId="22" customBuiltin="1"/>
    <cellStyle name="Check Cell" xfId="23" builtinId="23" customBuiltin="1"/>
    <cellStyle name="Comma" xfId="6" builtinId="3"/>
    <cellStyle name="Explanatory Text" xfId="26" builtinId="53" customBuiltin="1"/>
    <cellStyle name="Good" xfId="17" builtinId="26" customBuiltin="1"/>
    <cellStyle name="Heading 1" xfId="13" builtinId="16" customBuiltin="1"/>
    <cellStyle name="Heading 2" xfId="14" builtinId="17" customBuiltin="1"/>
    <cellStyle name="Heading 3" xfId="15" builtinId="18" customBuiltin="1"/>
    <cellStyle name="Heading 4" xfId="16" builtinId="19" customBuiltin="1"/>
    <cellStyle name="Hyperlink" xfId="5" builtinId="8"/>
    <cellStyle name="Hyperlink 2" xfId="10" xr:uid="{10C1E3C0-F46B-4E25-BD9A-EE5D62F88FF2}"/>
    <cellStyle name="Input" xfId="19" builtinId="20" customBuiltin="1"/>
    <cellStyle name="Linked Cell" xfId="22" builtinId="24" customBuiltin="1"/>
    <cellStyle name="Neutral 2" xfId="47" xr:uid="{65990A78-3418-4385-8A90-6596C12444EC}"/>
    <cellStyle name="Normal" xfId="0" builtinId="0"/>
    <cellStyle name="Normal 2" xfId="3" xr:uid="{E38C2638-0821-4BB2-9C33-A89D3950ADA6}"/>
    <cellStyle name="Normal 2 2" xfId="4" xr:uid="{7604919E-E68F-4366-A693-6A7B8B8DA661}"/>
    <cellStyle name="Normal 2 3" xfId="9" xr:uid="{8A1E39CD-7ABA-4D79-A464-67010D1209C1}"/>
    <cellStyle name="Normal 2 4" xfId="55" xr:uid="{AE4B3509-A26F-46BA-8AEA-0889CC1E7DEC}"/>
    <cellStyle name="Normal 3" xfId="7" xr:uid="{1C10DAE4-4F9C-4E19-81E4-5574511A6741}"/>
    <cellStyle name="Normal 4" xfId="11" xr:uid="{43272557-B37F-4996-BC18-AA3EDEAFA379}"/>
    <cellStyle name="Normal 5" xfId="12" xr:uid="{642BE191-BE2F-4847-8420-1C59B95E270E}"/>
    <cellStyle name="Normal 6" xfId="54" xr:uid="{40F62795-0E60-4B52-B70B-B046DFB737FF}"/>
    <cellStyle name="Normal_Prototype_Scorecard-LgOffice-2008-03-13" xfId="1" xr:uid="{F839F8A1-86E5-4008-9801-0F032E8A3317}"/>
    <cellStyle name="Note" xfId="25" builtinId="10" customBuiltin="1"/>
    <cellStyle name="Output" xfId="20" builtinId="21" customBuiltin="1"/>
    <cellStyle name="Percent" xfId="2" builtinId="5"/>
    <cellStyle name="Percent 2" xfId="8" xr:uid="{CB789C3E-741F-4464-8065-385A956411E6}"/>
    <cellStyle name="Title 2" xfId="46" xr:uid="{3F21AD8F-936B-4DFB-B4CB-549B9F2D7A8B}"/>
    <cellStyle name="Total" xfId="27" builtinId="25" customBuiltin="1"/>
    <cellStyle name="Warning Text" xfId="24" builtinId="11" customBuiltin="1"/>
  </cellStyles>
  <dxfs count="8">
    <dxf>
      <alignment horizontal="center" textRotation="0" indent="0" justifyLastLine="0" shrinkToFit="0" readingOrder="0"/>
    </dxf>
    <dxf>
      <font>
        <b/>
        <i val="0"/>
      </font>
      <fill>
        <patternFill>
          <bgColor theme="0" tint="-0.14996795556505021"/>
        </patternFill>
      </fill>
      <border>
        <left style="thin">
          <color auto="1"/>
        </left>
        <right style="thin">
          <color auto="1"/>
        </right>
        <top style="thin">
          <color auto="1"/>
        </top>
        <bottom style="thin">
          <color auto="1"/>
        </bottom>
        <vertical/>
        <horizontal style="thin">
          <color auto="1"/>
        </horizontal>
      </border>
    </dxf>
    <dxf>
      <font>
        <b/>
        <i val="0"/>
      </font>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i val="0"/>
      </font>
    </dxf>
    <dxf>
      <font>
        <b/>
        <i val="0"/>
      </font>
    </dxf>
    <dxf>
      <font>
        <b/>
        <i val="0"/>
      </font>
      <border diagonalDown="1">
        <left style="thin">
          <color auto="1"/>
        </left>
        <right style="thin">
          <color auto="1"/>
        </right>
        <top style="thin">
          <color auto="1"/>
        </top>
        <bottom style="thin">
          <color auto="1"/>
        </bottom>
        <diagonal style="thin">
          <color auto="1"/>
        </diagonal>
        <vertical style="thin">
          <color auto="1"/>
        </vertical>
        <horizontal style="thin">
          <color auto="1"/>
        </horizontal>
      </border>
    </dxf>
    <dxf>
      <font>
        <b/>
        <i val="0"/>
      </font>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border>
    </dxf>
  </dxfs>
  <tableStyles count="1" defaultTableStyle="TableStyleMedium2" defaultPivotStyle="PivotStyleLight16">
    <tableStyle name="PivotTable Style_MFA1" table="0" count="7" xr9:uid="{14E84246-083A-4927-8273-A88944943105}">
      <tableStyleElement type="wholeTable" dxfId="7"/>
      <tableStyleElement type="headerRow" dxfId="6"/>
      <tableStyleElement type="totalRow" dxfId="5"/>
      <tableStyleElement type="firstColumn" dxfId="4"/>
      <tableStyleElement type="lastColumn" dxfId="3"/>
      <tableStyleElement type="pageFieldLabels" dxfId="2"/>
      <tableStyleElement type="pageFieldValues" dxfId="1"/>
    </tableStyle>
  </tableStyles>
  <colors>
    <mruColors>
      <color rgb="FFCCCCFF"/>
      <color rgb="FF002F8E"/>
      <color rgb="FF8238BA"/>
      <color rgb="FF800000"/>
      <color rgb="FF0000CC"/>
      <color rgb="FFFF9900"/>
      <color rgb="FFFFEBCD"/>
      <color rgb="FF2E9F17"/>
      <color rgb="FFFFFAF3"/>
      <color rgb="FF2DC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microsoft.com/office/2017/10/relationships/person" Target="persons/perso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Heating</a:t>
            </a:r>
            <a:r>
              <a:rPr lang="en-US" baseline="0"/>
              <a:t> Fuel type - Small Office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'Heating-No area used to convert'!$V$2</c:f>
              <c:strCache>
                <c:ptCount val="1"/>
                <c:pt idx="0">
                  <c:v>Saturation (Electric)</c:v>
                </c:pt>
              </c:strCache>
            </c:strRef>
          </c:tx>
          <c:spPr>
            <a:solidFill>
              <a:schemeClr val="accent1"/>
            </a:solidFill>
            <a:ln>
              <a:noFill/>
            </a:ln>
            <a:effectLst/>
          </c:spPr>
          <c:invertIfNegative val="0"/>
          <c:cat>
            <c:strRef>
              <c:f>'Heating-No area used to convert'!$O$4:$O$19</c:f>
              <c:strCache>
                <c:ptCount val="16"/>
                <c:pt idx="0">
                  <c:v>FCZ1</c:v>
                </c:pt>
                <c:pt idx="1">
                  <c:v>FCZ2</c:v>
                </c:pt>
                <c:pt idx="2">
                  <c:v>FCZ3</c:v>
                </c:pt>
                <c:pt idx="3">
                  <c:v>FCZ4</c:v>
                </c:pt>
                <c:pt idx="4">
                  <c:v>FCZ5</c:v>
                </c:pt>
                <c:pt idx="5">
                  <c:v>FCZ6</c:v>
                </c:pt>
                <c:pt idx="6">
                  <c:v>FCZ7</c:v>
                </c:pt>
                <c:pt idx="7">
                  <c:v>FCZ8</c:v>
                </c:pt>
                <c:pt idx="8">
                  <c:v>FCZ9</c:v>
                </c:pt>
                <c:pt idx="9">
                  <c:v>FCZ10</c:v>
                </c:pt>
                <c:pt idx="10">
                  <c:v>FCZ11</c:v>
                </c:pt>
                <c:pt idx="11">
                  <c:v>FCZ12c</c:v>
                </c:pt>
                <c:pt idx="12">
                  <c:v>FCZ12i</c:v>
                </c:pt>
                <c:pt idx="13">
                  <c:v>FCZ13</c:v>
                </c:pt>
                <c:pt idx="14">
                  <c:v>FCZ16</c:v>
                </c:pt>
                <c:pt idx="15">
                  <c:v>FCZ17</c:v>
                </c:pt>
              </c:strCache>
            </c:strRef>
          </c:cat>
          <c:val>
            <c:numRef>
              <c:f>'Heating-No area used to convert'!$V$4:$V$19</c:f>
              <c:numCache>
                <c:formatCode>0.0%</c:formatCode>
                <c:ptCount val="16"/>
                <c:pt idx="0">
                  <c:v>0.28059547381693301</c:v>
                </c:pt>
                <c:pt idx="1">
                  <c:v>0.10285650531384764</c:v>
                </c:pt>
                <c:pt idx="2">
                  <c:v>0.22764715328470347</c:v>
                </c:pt>
                <c:pt idx="3">
                  <c:v>0.22764715328470347</c:v>
                </c:pt>
                <c:pt idx="4">
                  <c:v>0.18902425594194774</c:v>
                </c:pt>
                <c:pt idx="5">
                  <c:v>0.23589976942651886</c:v>
                </c:pt>
                <c:pt idx="6">
                  <c:v>0.62997606968910669</c:v>
                </c:pt>
                <c:pt idx="7">
                  <c:v>0.50445401803813705</c:v>
                </c:pt>
                <c:pt idx="8">
                  <c:v>5.6283748971859983E-2</c:v>
                </c:pt>
                <c:pt idx="9">
                  <c:v>0.41941527860681393</c:v>
                </c:pt>
                <c:pt idx="10">
                  <c:v>0.52492102906876836</c:v>
                </c:pt>
                <c:pt idx="11">
                  <c:v>0.52219585030530169</c:v>
                </c:pt>
                <c:pt idx="12">
                  <c:v>0.36944969753377582</c:v>
                </c:pt>
                <c:pt idx="13">
                  <c:v>0.33477968764715826</c:v>
                </c:pt>
                <c:pt idx="14">
                  <c:v>0.35498215678068606</c:v>
                </c:pt>
                <c:pt idx="15">
                  <c:v>0.31892297110776657</c:v>
                </c:pt>
              </c:numCache>
            </c:numRef>
          </c:val>
          <c:extLst>
            <c:ext xmlns:c16="http://schemas.microsoft.com/office/drawing/2014/chart" uri="{C3380CC4-5D6E-409C-BE32-E72D297353CC}">
              <c16:uniqueId val="{00000000-0BC5-441C-800B-44DAD7A72E18}"/>
            </c:ext>
          </c:extLst>
        </c:ser>
        <c:ser>
          <c:idx val="1"/>
          <c:order val="1"/>
          <c:tx>
            <c:strRef>
              <c:f>'Heating-No area used to convert'!$W$2</c:f>
              <c:strCache>
                <c:ptCount val="1"/>
                <c:pt idx="0">
                  <c:v>Saturation (Gas)</c:v>
                </c:pt>
              </c:strCache>
            </c:strRef>
          </c:tx>
          <c:spPr>
            <a:solidFill>
              <a:schemeClr val="accent2"/>
            </a:solidFill>
            <a:ln>
              <a:noFill/>
            </a:ln>
            <a:effectLst/>
          </c:spPr>
          <c:invertIfNegative val="0"/>
          <c:cat>
            <c:strRef>
              <c:f>'Heating-No area used to convert'!$O$4:$O$19</c:f>
              <c:strCache>
                <c:ptCount val="16"/>
                <c:pt idx="0">
                  <c:v>FCZ1</c:v>
                </c:pt>
                <c:pt idx="1">
                  <c:v>FCZ2</c:v>
                </c:pt>
                <c:pt idx="2">
                  <c:v>FCZ3</c:v>
                </c:pt>
                <c:pt idx="3">
                  <c:v>FCZ4</c:v>
                </c:pt>
                <c:pt idx="4">
                  <c:v>FCZ5</c:v>
                </c:pt>
                <c:pt idx="5">
                  <c:v>FCZ6</c:v>
                </c:pt>
                <c:pt idx="6">
                  <c:v>FCZ7</c:v>
                </c:pt>
                <c:pt idx="7">
                  <c:v>FCZ8</c:v>
                </c:pt>
                <c:pt idx="8">
                  <c:v>FCZ9</c:v>
                </c:pt>
                <c:pt idx="9">
                  <c:v>FCZ10</c:v>
                </c:pt>
                <c:pt idx="10">
                  <c:v>FCZ11</c:v>
                </c:pt>
                <c:pt idx="11">
                  <c:v>FCZ12c</c:v>
                </c:pt>
                <c:pt idx="12">
                  <c:v>FCZ12i</c:v>
                </c:pt>
                <c:pt idx="13">
                  <c:v>FCZ13</c:v>
                </c:pt>
                <c:pt idx="14">
                  <c:v>FCZ16</c:v>
                </c:pt>
                <c:pt idx="15">
                  <c:v>FCZ17</c:v>
                </c:pt>
              </c:strCache>
            </c:strRef>
          </c:cat>
          <c:val>
            <c:numRef>
              <c:f>'Heating-No area used to convert'!$W$4:$W$19</c:f>
              <c:numCache>
                <c:formatCode>0.0%</c:formatCode>
                <c:ptCount val="16"/>
                <c:pt idx="0">
                  <c:v>0.6243131530677799</c:v>
                </c:pt>
                <c:pt idx="1">
                  <c:v>0.70189795312562475</c:v>
                </c:pt>
                <c:pt idx="2">
                  <c:v>0.59683100490507757</c:v>
                </c:pt>
                <c:pt idx="3">
                  <c:v>0.59683100490507757</c:v>
                </c:pt>
                <c:pt idx="4">
                  <c:v>0.72768161312071966</c:v>
                </c:pt>
                <c:pt idx="5">
                  <c:v>0.68871371650807633</c:v>
                </c:pt>
                <c:pt idx="6">
                  <c:v>0.3223503442480643</c:v>
                </c:pt>
                <c:pt idx="7">
                  <c:v>0.42763445504804587</c:v>
                </c:pt>
                <c:pt idx="8">
                  <c:v>0.86134731066558923</c:v>
                </c:pt>
                <c:pt idx="9">
                  <c:v>0.49296635343854911</c:v>
                </c:pt>
                <c:pt idx="10">
                  <c:v>0.44895206672283278</c:v>
                </c:pt>
                <c:pt idx="11">
                  <c:v>0.3761090175583498</c:v>
                </c:pt>
                <c:pt idx="12">
                  <c:v>0.50773333141711874</c:v>
                </c:pt>
                <c:pt idx="13">
                  <c:v>0.53370716424748876</c:v>
                </c:pt>
                <c:pt idx="14">
                  <c:v>0.38142278954892783</c:v>
                </c:pt>
                <c:pt idx="15">
                  <c:v>0.58671628779641738</c:v>
                </c:pt>
              </c:numCache>
            </c:numRef>
          </c:val>
          <c:extLst>
            <c:ext xmlns:c16="http://schemas.microsoft.com/office/drawing/2014/chart" uri="{C3380CC4-5D6E-409C-BE32-E72D297353CC}">
              <c16:uniqueId val="{00000001-0BC5-441C-800B-44DAD7A72E18}"/>
            </c:ext>
          </c:extLst>
        </c:ser>
        <c:ser>
          <c:idx val="2"/>
          <c:order val="2"/>
          <c:tx>
            <c:strRef>
              <c:f>'Heating-No area used to convert'!$X$2</c:f>
              <c:strCache>
                <c:ptCount val="1"/>
                <c:pt idx="0">
                  <c:v>Saturation
(Other Fuels)</c:v>
                </c:pt>
              </c:strCache>
            </c:strRef>
          </c:tx>
          <c:spPr>
            <a:solidFill>
              <a:schemeClr val="accent3"/>
            </a:solidFill>
            <a:ln>
              <a:noFill/>
            </a:ln>
            <a:effectLst/>
          </c:spPr>
          <c:invertIfNegative val="0"/>
          <c:val>
            <c:numRef>
              <c:f>'Heating-No area used to convert'!$X$4:$X$19</c:f>
              <c:numCache>
                <c:formatCode>0.0%</c:formatCode>
                <c:ptCount val="16"/>
                <c:pt idx="0">
                  <c:v>8.1065102686722016E-3</c:v>
                </c:pt>
                <c:pt idx="1">
                  <c:v>5.738688404380525E-2</c:v>
                </c:pt>
                <c:pt idx="2">
                  <c:v>7.3132514392905273E-2</c:v>
                </c:pt>
                <c:pt idx="3">
                  <c:v>7.3132514392905273E-2</c:v>
                </c:pt>
                <c:pt idx="4">
                  <c:v>5.4442424021695609E-3</c:v>
                </c:pt>
                <c:pt idx="5">
                  <c:v>1.8620214057104439E-3</c:v>
                </c:pt>
                <c:pt idx="6">
                  <c:v>0</c:v>
                </c:pt>
                <c:pt idx="7">
                  <c:v>0</c:v>
                </c:pt>
                <c:pt idx="8">
                  <c:v>2.763374756120773E-2</c:v>
                </c:pt>
                <c:pt idx="9">
                  <c:v>0</c:v>
                </c:pt>
                <c:pt idx="10">
                  <c:v>7.0259434871968781E-3</c:v>
                </c:pt>
                <c:pt idx="11">
                  <c:v>2.2548952298248534E-3</c:v>
                </c:pt>
                <c:pt idx="12">
                  <c:v>1.219301678793685E-3</c:v>
                </c:pt>
                <c:pt idx="13">
                  <c:v>0</c:v>
                </c:pt>
                <c:pt idx="14">
                  <c:v>0</c:v>
                </c:pt>
                <c:pt idx="15">
                  <c:v>0</c:v>
                </c:pt>
              </c:numCache>
            </c:numRef>
          </c:val>
          <c:extLst>
            <c:ext xmlns:c16="http://schemas.microsoft.com/office/drawing/2014/chart" uri="{C3380CC4-5D6E-409C-BE32-E72D297353CC}">
              <c16:uniqueId val="{00000000-5F0E-4002-9763-F39F9FBDFB68}"/>
            </c:ext>
          </c:extLst>
        </c:ser>
        <c:dLbls>
          <c:showLegendKey val="0"/>
          <c:showVal val="0"/>
          <c:showCatName val="0"/>
          <c:showSerName val="0"/>
          <c:showPercent val="0"/>
          <c:showBubbleSize val="0"/>
        </c:dLbls>
        <c:gapWidth val="150"/>
        <c:overlap val="100"/>
        <c:axId val="1803301935"/>
        <c:axId val="1383834687"/>
      </c:barChart>
      <c:catAx>
        <c:axId val="18033019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3834687"/>
        <c:crosses val="autoZero"/>
        <c:auto val="1"/>
        <c:lblAlgn val="ctr"/>
        <c:lblOffset val="100"/>
        <c:noMultiLvlLbl val="0"/>
      </c:catAx>
      <c:valAx>
        <c:axId val="1383834687"/>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3301935"/>
        <c:crosses val="autoZero"/>
        <c:crossBetween val="between"/>
        <c:min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j-lt"/>
                <a:ea typeface="+mn-ea"/>
                <a:cs typeface="+mn-cs"/>
              </a:defRPr>
            </a:pPr>
            <a:r>
              <a:rPr lang="en-US" sz="1400" b="1">
                <a:solidFill>
                  <a:sysClr val="windowText" lastClr="000000"/>
                </a:solidFill>
                <a:latin typeface="+mj-lt"/>
              </a:rPr>
              <a:t>CEC: </a:t>
            </a:r>
            <a:r>
              <a:rPr lang="en-US">
                <a:solidFill>
                  <a:sysClr val="windowText" lastClr="000000"/>
                </a:solidFill>
                <a:latin typeface="+mj-lt"/>
              </a:rPr>
              <a:t>Occpancy </a:t>
            </a:r>
            <a:r>
              <a:rPr lang="en-US" sz="1400" b="0" i="0" u="none" strike="noStrike" kern="1200" spc="0" baseline="0">
                <a:solidFill>
                  <a:sysClr val="windowText" lastClr="000000"/>
                </a:solidFill>
                <a:latin typeface="+mj-lt"/>
              </a:rPr>
              <a:t>Schedule- Small office</a:t>
            </a:r>
            <a:endParaRPr lang="en-US">
              <a:solidFill>
                <a:sysClr val="windowText" lastClr="000000"/>
              </a:solidFill>
              <a:latin typeface="+mj-l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j-lt"/>
              <a:ea typeface="+mn-ea"/>
              <a:cs typeface="+mn-cs"/>
            </a:defRPr>
          </a:pPr>
          <a:endParaRPr lang="en-US"/>
        </a:p>
      </c:txPr>
    </c:title>
    <c:autoTitleDeleted val="0"/>
    <c:plotArea>
      <c:layout/>
      <c:lineChart>
        <c:grouping val="standard"/>
        <c:varyColors val="0"/>
        <c:ser>
          <c:idx val="5"/>
          <c:order val="0"/>
          <c:tx>
            <c:strRef>
              <c:f>Occupnacy!$J$68</c:f>
              <c:strCache>
                <c:ptCount val="1"/>
                <c:pt idx="0">
                  <c:v>CEC Weekday</c:v>
                </c:pt>
              </c:strCache>
            </c:strRef>
          </c:tx>
          <c:spPr>
            <a:ln w="28575" cap="rnd">
              <a:solidFill>
                <a:schemeClr val="accent6"/>
              </a:solidFill>
              <a:round/>
            </a:ln>
            <a:effectLst/>
          </c:spPr>
          <c:marker>
            <c:symbol val="none"/>
          </c:marker>
          <c:cat>
            <c:numRef>
              <c:f>Occupnacy!$A$69:$A$92</c:f>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numRef>
          </c:cat>
          <c:val>
            <c:numRef>
              <c:f>Occupnacy!$J$69:$J$92</c:f>
              <c:numCache>
                <c:formatCode>General</c:formatCode>
                <c:ptCount val="24"/>
                <c:pt idx="0">
                  <c:v>0</c:v>
                </c:pt>
                <c:pt idx="1">
                  <c:v>0</c:v>
                </c:pt>
                <c:pt idx="2">
                  <c:v>0</c:v>
                </c:pt>
                <c:pt idx="3">
                  <c:v>0</c:v>
                </c:pt>
                <c:pt idx="4">
                  <c:v>0</c:v>
                </c:pt>
                <c:pt idx="5">
                  <c:v>0</c:v>
                </c:pt>
                <c:pt idx="6">
                  <c:v>0.1</c:v>
                </c:pt>
                <c:pt idx="7">
                  <c:v>0.2</c:v>
                </c:pt>
                <c:pt idx="8">
                  <c:v>0.95</c:v>
                </c:pt>
                <c:pt idx="9">
                  <c:v>0.95</c:v>
                </c:pt>
                <c:pt idx="10">
                  <c:v>0.95</c:v>
                </c:pt>
                <c:pt idx="11">
                  <c:v>0.95</c:v>
                </c:pt>
                <c:pt idx="12">
                  <c:v>0.5</c:v>
                </c:pt>
                <c:pt idx="13">
                  <c:v>0.95</c:v>
                </c:pt>
                <c:pt idx="14">
                  <c:v>0.95</c:v>
                </c:pt>
                <c:pt idx="15">
                  <c:v>0.95</c:v>
                </c:pt>
                <c:pt idx="16">
                  <c:v>0.95</c:v>
                </c:pt>
                <c:pt idx="17">
                  <c:v>0.3</c:v>
                </c:pt>
                <c:pt idx="18">
                  <c:v>0.1</c:v>
                </c:pt>
                <c:pt idx="19">
                  <c:v>0.1</c:v>
                </c:pt>
                <c:pt idx="20">
                  <c:v>0.1</c:v>
                </c:pt>
                <c:pt idx="21">
                  <c:v>0.1</c:v>
                </c:pt>
                <c:pt idx="22">
                  <c:v>0.05</c:v>
                </c:pt>
                <c:pt idx="23">
                  <c:v>0</c:v>
                </c:pt>
              </c:numCache>
            </c:numRef>
          </c:val>
          <c:smooth val="0"/>
          <c:extLst>
            <c:ext xmlns:c16="http://schemas.microsoft.com/office/drawing/2014/chart" uri="{C3380CC4-5D6E-409C-BE32-E72D297353CC}">
              <c16:uniqueId val="{00000000-843C-45B0-8AEE-A18D70991123}"/>
            </c:ext>
          </c:extLst>
        </c:ser>
        <c:ser>
          <c:idx val="6"/>
          <c:order val="1"/>
          <c:tx>
            <c:strRef>
              <c:f>Occupnacy!$K$68</c:f>
              <c:strCache>
                <c:ptCount val="1"/>
                <c:pt idx="0">
                  <c:v>CEC Saturday</c:v>
                </c:pt>
              </c:strCache>
            </c:strRef>
          </c:tx>
          <c:spPr>
            <a:ln w="28575" cap="rnd">
              <a:solidFill>
                <a:schemeClr val="accent1">
                  <a:lumMod val="60000"/>
                </a:schemeClr>
              </a:solidFill>
              <a:round/>
            </a:ln>
            <a:effectLst/>
          </c:spPr>
          <c:marker>
            <c:symbol val="none"/>
          </c:marker>
          <c:cat>
            <c:numRef>
              <c:f>Occupnacy!$A$69:$A$92</c:f>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numRef>
          </c:cat>
          <c:val>
            <c:numRef>
              <c:f>Occupnacy!$K$69:$K$92</c:f>
              <c:numCache>
                <c:formatCode>General</c:formatCode>
                <c:ptCount val="24"/>
                <c:pt idx="0">
                  <c:v>0</c:v>
                </c:pt>
                <c:pt idx="1">
                  <c:v>0</c:v>
                </c:pt>
                <c:pt idx="2">
                  <c:v>0</c:v>
                </c:pt>
                <c:pt idx="3">
                  <c:v>0</c:v>
                </c:pt>
                <c:pt idx="4">
                  <c:v>0</c:v>
                </c:pt>
                <c:pt idx="5">
                  <c:v>0</c:v>
                </c:pt>
                <c:pt idx="6">
                  <c:v>0.1</c:v>
                </c:pt>
                <c:pt idx="7">
                  <c:v>0.1</c:v>
                </c:pt>
                <c:pt idx="8">
                  <c:v>0.3</c:v>
                </c:pt>
                <c:pt idx="9">
                  <c:v>0.3</c:v>
                </c:pt>
                <c:pt idx="10">
                  <c:v>0.3</c:v>
                </c:pt>
                <c:pt idx="11">
                  <c:v>0.3</c:v>
                </c:pt>
                <c:pt idx="12">
                  <c:v>0.1</c:v>
                </c:pt>
                <c:pt idx="13">
                  <c:v>0.1</c:v>
                </c:pt>
                <c:pt idx="14">
                  <c:v>0.1</c:v>
                </c:pt>
                <c:pt idx="15">
                  <c:v>0.1</c:v>
                </c:pt>
                <c:pt idx="16">
                  <c:v>0.1</c:v>
                </c:pt>
                <c:pt idx="17">
                  <c:v>0.05</c:v>
                </c:pt>
                <c:pt idx="18">
                  <c:v>0.05</c:v>
                </c:pt>
                <c:pt idx="19">
                  <c:v>0</c:v>
                </c:pt>
                <c:pt idx="20">
                  <c:v>0</c:v>
                </c:pt>
                <c:pt idx="21">
                  <c:v>0</c:v>
                </c:pt>
                <c:pt idx="22">
                  <c:v>0</c:v>
                </c:pt>
                <c:pt idx="23">
                  <c:v>0</c:v>
                </c:pt>
              </c:numCache>
            </c:numRef>
          </c:val>
          <c:smooth val="0"/>
          <c:extLst>
            <c:ext xmlns:c16="http://schemas.microsoft.com/office/drawing/2014/chart" uri="{C3380CC4-5D6E-409C-BE32-E72D297353CC}">
              <c16:uniqueId val="{00000001-843C-45B0-8AEE-A18D70991123}"/>
            </c:ext>
          </c:extLst>
        </c:ser>
        <c:ser>
          <c:idx val="7"/>
          <c:order val="2"/>
          <c:tx>
            <c:strRef>
              <c:f>Occupnacy!$L$68</c:f>
              <c:strCache>
                <c:ptCount val="1"/>
                <c:pt idx="0">
                  <c:v>CEC Sunday</c:v>
                </c:pt>
              </c:strCache>
            </c:strRef>
          </c:tx>
          <c:spPr>
            <a:ln w="28575" cap="rnd">
              <a:solidFill>
                <a:schemeClr val="accent2">
                  <a:lumMod val="60000"/>
                </a:schemeClr>
              </a:solidFill>
              <a:round/>
            </a:ln>
            <a:effectLst/>
          </c:spPr>
          <c:marker>
            <c:symbol val="none"/>
          </c:marker>
          <c:cat>
            <c:numRef>
              <c:f>Occupnacy!$A$69:$A$92</c:f>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numRef>
          </c:cat>
          <c:val>
            <c:numRef>
              <c:f>Occupnacy!$L$69:$L$92</c:f>
              <c:numCache>
                <c:formatCode>General</c:formatCode>
                <c:ptCount val="24"/>
                <c:pt idx="0">
                  <c:v>0</c:v>
                </c:pt>
                <c:pt idx="1">
                  <c:v>0</c:v>
                </c:pt>
                <c:pt idx="2">
                  <c:v>0</c:v>
                </c:pt>
                <c:pt idx="3">
                  <c:v>0</c:v>
                </c:pt>
                <c:pt idx="4">
                  <c:v>0</c:v>
                </c:pt>
                <c:pt idx="5">
                  <c:v>0</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2-843C-45B0-8AEE-A18D70991123}"/>
            </c:ext>
          </c:extLst>
        </c:ser>
        <c:dLbls>
          <c:showLegendKey val="0"/>
          <c:showVal val="0"/>
          <c:showCatName val="0"/>
          <c:showSerName val="0"/>
          <c:showPercent val="0"/>
          <c:showBubbleSize val="0"/>
        </c:dLbls>
        <c:smooth val="0"/>
        <c:axId val="1948439823"/>
        <c:axId val="1948451823"/>
      </c:lineChart>
      <c:catAx>
        <c:axId val="19484398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8451823"/>
        <c:crosses val="autoZero"/>
        <c:auto val="1"/>
        <c:lblAlgn val="ctr"/>
        <c:lblOffset val="100"/>
        <c:noMultiLvlLbl val="0"/>
      </c:catAx>
      <c:valAx>
        <c:axId val="19484518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84398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Schedules!$A$10</c:f>
          <c:strCache>
            <c:ptCount val="1"/>
            <c:pt idx="0">
              <c:v>Office Areas Lighting</c:v>
            </c:pt>
          </c:strCache>
        </c:strRef>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301696646995022"/>
          <c:y val="0.21667624165005125"/>
          <c:w val="0.86296940073898609"/>
          <c:h val="0.51057641399975218"/>
        </c:manualLayout>
      </c:layout>
      <c:lineChart>
        <c:grouping val="standard"/>
        <c:varyColors val="0"/>
        <c:ser>
          <c:idx val="0"/>
          <c:order val="0"/>
          <c:tx>
            <c:strRef>
              <c:f>Schedules!$D$10</c:f>
              <c:strCache>
                <c:ptCount val="1"/>
                <c:pt idx="0">
                  <c:v>Weekday</c:v>
                </c:pt>
              </c:strCache>
            </c:strRef>
          </c:tx>
          <c:spPr>
            <a:ln w="28575" cap="rnd">
              <a:solidFill>
                <a:schemeClr val="accent1"/>
              </a:solidFill>
              <a:round/>
            </a:ln>
            <a:effectLst/>
          </c:spPr>
          <c:marker>
            <c:symbol val="none"/>
          </c:marker>
          <c:val>
            <c:numRef>
              <c:f>Schedules!$E$10:$AB$10</c:f>
              <c:numCache>
                <c:formatCode>0.00</c:formatCode>
                <c:ptCount val="24"/>
                <c:pt idx="0">
                  <c:v>0.05</c:v>
                </c:pt>
                <c:pt idx="1">
                  <c:v>0.05</c:v>
                </c:pt>
                <c:pt idx="2">
                  <c:v>0.05</c:v>
                </c:pt>
                <c:pt idx="3">
                  <c:v>0.05</c:v>
                </c:pt>
                <c:pt idx="4">
                  <c:v>0.05</c:v>
                </c:pt>
                <c:pt idx="5">
                  <c:v>0.1</c:v>
                </c:pt>
                <c:pt idx="6">
                  <c:v>0.1</c:v>
                </c:pt>
                <c:pt idx="7">
                  <c:v>0.3</c:v>
                </c:pt>
                <c:pt idx="8">
                  <c:v>0.65</c:v>
                </c:pt>
                <c:pt idx="9">
                  <c:v>0.65</c:v>
                </c:pt>
                <c:pt idx="10">
                  <c:v>0.65</c:v>
                </c:pt>
                <c:pt idx="11">
                  <c:v>0.65</c:v>
                </c:pt>
                <c:pt idx="12">
                  <c:v>0.65</c:v>
                </c:pt>
                <c:pt idx="13">
                  <c:v>0.65</c:v>
                </c:pt>
                <c:pt idx="14">
                  <c:v>0.65</c:v>
                </c:pt>
                <c:pt idx="15">
                  <c:v>0.65</c:v>
                </c:pt>
                <c:pt idx="16">
                  <c:v>0.65</c:v>
                </c:pt>
                <c:pt idx="17">
                  <c:v>0.35</c:v>
                </c:pt>
                <c:pt idx="18">
                  <c:v>0.3</c:v>
                </c:pt>
                <c:pt idx="19">
                  <c:v>0.3</c:v>
                </c:pt>
                <c:pt idx="20">
                  <c:v>0.2</c:v>
                </c:pt>
                <c:pt idx="21">
                  <c:v>0.2</c:v>
                </c:pt>
                <c:pt idx="22">
                  <c:v>0.1</c:v>
                </c:pt>
                <c:pt idx="23">
                  <c:v>0.05</c:v>
                </c:pt>
              </c:numCache>
            </c:numRef>
          </c:val>
          <c:smooth val="0"/>
          <c:extLst>
            <c:ext xmlns:c16="http://schemas.microsoft.com/office/drawing/2014/chart" uri="{C3380CC4-5D6E-409C-BE32-E72D297353CC}">
              <c16:uniqueId val="{00000000-2801-4868-A297-9CE8C024DA05}"/>
            </c:ext>
          </c:extLst>
        </c:ser>
        <c:ser>
          <c:idx val="1"/>
          <c:order val="1"/>
          <c:tx>
            <c:strRef>
              <c:f>Schedules!$D$11</c:f>
              <c:strCache>
                <c:ptCount val="1"/>
                <c:pt idx="0">
                  <c:v>Saturday</c:v>
                </c:pt>
              </c:strCache>
            </c:strRef>
          </c:tx>
          <c:spPr>
            <a:ln w="28575" cap="rnd">
              <a:solidFill>
                <a:schemeClr val="accent2"/>
              </a:solidFill>
              <a:round/>
            </a:ln>
            <a:effectLst/>
          </c:spPr>
          <c:marker>
            <c:symbol val="none"/>
          </c:marker>
          <c:val>
            <c:numRef>
              <c:f>Schedules!$E$11:$AB$11</c:f>
              <c:numCache>
                <c:formatCode>0.00</c:formatCode>
                <c:ptCount val="24"/>
                <c:pt idx="0">
                  <c:v>0.05</c:v>
                </c:pt>
                <c:pt idx="1">
                  <c:v>0.05</c:v>
                </c:pt>
                <c:pt idx="2">
                  <c:v>0.05</c:v>
                </c:pt>
                <c:pt idx="3">
                  <c:v>0.05</c:v>
                </c:pt>
                <c:pt idx="4">
                  <c:v>0.05</c:v>
                </c:pt>
                <c:pt idx="5">
                  <c:v>0.05</c:v>
                </c:pt>
                <c:pt idx="6">
                  <c:v>0.1</c:v>
                </c:pt>
                <c:pt idx="7">
                  <c:v>0.1</c:v>
                </c:pt>
                <c:pt idx="8">
                  <c:v>0.3</c:v>
                </c:pt>
                <c:pt idx="9">
                  <c:v>0.3</c:v>
                </c:pt>
                <c:pt idx="10">
                  <c:v>0.3</c:v>
                </c:pt>
                <c:pt idx="11">
                  <c:v>0.3</c:v>
                </c:pt>
                <c:pt idx="12">
                  <c:v>0.15</c:v>
                </c:pt>
                <c:pt idx="13">
                  <c:v>0.15</c:v>
                </c:pt>
                <c:pt idx="14">
                  <c:v>0.15</c:v>
                </c:pt>
                <c:pt idx="15">
                  <c:v>0.15</c:v>
                </c:pt>
                <c:pt idx="16">
                  <c:v>0.15</c:v>
                </c:pt>
                <c:pt idx="17">
                  <c:v>0.05</c:v>
                </c:pt>
                <c:pt idx="18">
                  <c:v>0.05</c:v>
                </c:pt>
                <c:pt idx="19">
                  <c:v>0.05</c:v>
                </c:pt>
                <c:pt idx="20">
                  <c:v>0.05</c:v>
                </c:pt>
                <c:pt idx="21">
                  <c:v>0.05</c:v>
                </c:pt>
                <c:pt idx="22">
                  <c:v>0.05</c:v>
                </c:pt>
                <c:pt idx="23">
                  <c:v>0.05</c:v>
                </c:pt>
              </c:numCache>
            </c:numRef>
          </c:val>
          <c:smooth val="0"/>
          <c:extLst>
            <c:ext xmlns:c16="http://schemas.microsoft.com/office/drawing/2014/chart" uri="{C3380CC4-5D6E-409C-BE32-E72D297353CC}">
              <c16:uniqueId val="{00000001-2801-4868-A297-9CE8C024DA05}"/>
            </c:ext>
          </c:extLst>
        </c:ser>
        <c:ser>
          <c:idx val="2"/>
          <c:order val="2"/>
          <c:tx>
            <c:strRef>
              <c:f>Schedules!$D$12</c:f>
              <c:strCache>
                <c:ptCount val="1"/>
                <c:pt idx="0">
                  <c:v>Sunday</c:v>
                </c:pt>
              </c:strCache>
            </c:strRef>
          </c:tx>
          <c:spPr>
            <a:ln w="28575" cap="rnd">
              <a:solidFill>
                <a:schemeClr val="accent3"/>
              </a:solidFill>
              <a:round/>
            </a:ln>
            <a:effectLst/>
          </c:spPr>
          <c:marker>
            <c:symbol val="none"/>
          </c:marker>
          <c:val>
            <c:numRef>
              <c:f>Schedules!$E$12:$AB$12</c:f>
              <c:numCache>
                <c:formatCode>0.00</c:formatCode>
                <c:ptCount val="24"/>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numCache>
            </c:numRef>
          </c:val>
          <c:smooth val="0"/>
          <c:extLst>
            <c:ext xmlns:c16="http://schemas.microsoft.com/office/drawing/2014/chart" uri="{C3380CC4-5D6E-409C-BE32-E72D297353CC}">
              <c16:uniqueId val="{00000002-2801-4868-A297-9CE8C024DA05}"/>
            </c:ext>
          </c:extLst>
        </c:ser>
        <c:dLbls>
          <c:showLegendKey val="0"/>
          <c:showVal val="0"/>
          <c:showCatName val="0"/>
          <c:showSerName val="0"/>
          <c:showPercent val="0"/>
          <c:showBubbleSize val="0"/>
        </c:dLbls>
        <c:smooth val="0"/>
        <c:axId val="1801622976"/>
        <c:axId val="1801623456"/>
      </c:lineChart>
      <c:catAx>
        <c:axId val="1801622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1623456"/>
        <c:crosses val="autoZero"/>
        <c:auto val="1"/>
        <c:lblAlgn val="ctr"/>
        <c:lblOffset val="100"/>
        <c:noMultiLvlLbl val="0"/>
      </c:catAx>
      <c:valAx>
        <c:axId val="180162345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1622976"/>
        <c:crosses val="autoZero"/>
        <c:crossBetween val="between"/>
        <c:majorUnit val="0.2"/>
        <c:minorUnit val="0.1"/>
      </c:valAx>
      <c:spPr>
        <a:noFill/>
        <a:ln>
          <a:noFill/>
        </a:ln>
        <a:effectLst/>
      </c:spPr>
    </c:plotArea>
    <c:legend>
      <c:legendPos val="b"/>
      <c:layout>
        <c:manualLayout>
          <c:xMode val="edge"/>
          <c:yMode val="edge"/>
          <c:x val="0.69237621385546944"/>
          <c:y val="3.6261079321075841E-2"/>
          <c:w val="0.28941482691935089"/>
          <c:h val="0.313989478160883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Schedules!$A$13</c:f>
          <c:strCache>
            <c:ptCount val="1"/>
            <c:pt idx="0">
              <c:v>Office Areas HVAC Availability</c:v>
            </c:pt>
          </c:strCache>
        </c:strRef>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301696646995022"/>
          <c:y val="0.21667624165005125"/>
          <c:w val="0.86296940073898609"/>
          <c:h val="0.51057641399975218"/>
        </c:manualLayout>
      </c:layout>
      <c:lineChart>
        <c:grouping val="standard"/>
        <c:varyColors val="0"/>
        <c:ser>
          <c:idx val="0"/>
          <c:order val="0"/>
          <c:tx>
            <c:strRef>
              <c:f>Schedules!$D$13</c:f>
              <c:strCache>
                <c:ptCount val="1"/>
                <c:pt idx="0">
                  <c:v>Weekday</c:v>
                </c:pt>
              </c:strCache>
            </c:strRef>
          </c:tx>
          <c:spPr>
            <a:ln w="28575" cap="rnd">
              <a:solidFill>
                <a:schemeClr val="accent1"/>
              </a:solidFill>
              <a:round/>
            </a:ln>
            <a:effectLst/>
          </c:spPr>
          <c:marker>
            <c:symbol val="none"/>
          </c:marker>
          <c:val>
            <c:numRef>
              <c:f>Schedules!$E$13:$AB$13</c:f>
              <c:numCache>
                <c:formatCode>0</c:formatCode>
                <c:ptCount val="24"/>
                <c:pt idx="0">
                  <c:v>0</c:v>
                </c:pt>
                <c:pt idx="1">
                  <c:v>0</c:v>
                </c:pt>
                <c:pt idx="2">
                  <c:v>0</c:v>
                </c:pt>
                <c:pt idx="3">
                  <c:v>0</c:v>
                </c:pt>
                <c:pt idx="4">
                  <c:v>0</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numCache>
            </c:numRef>
          </c:val>
          <c:smooth val="0"/>
          <c:extLst>
            <c:ext xmlns:c16="http://schemas.microsoft.com/office/drawing/2014/chart" uri="{C3380CC4-5D6E-409C-BE32-E72D297353CC}">
              <c16:uniqueId val="{00000000-0748-4F4D-90B3-3FD2F8F642B0}"/>
            </c:ext>
          </c:extLst>
        </c:ser>
        <c:ser>
          <c:idx val="1"/>
          <c:order val="1"/>
          <c:tx>
            <c:strRef>
              <c:f>Schedules!$D$14</c:f>
              <c:strCache>
                <c:ptCount val="1"/>
                <c:pt idx="0">
                  <c:v>Saturday</c:v>
                </c:pt>
              </c:strCache>
            </c:strRef>
          </c:tx>
          <c:spPr>
            <a:ln w="28575" cap="rnd">
              <a:solidFill>
                <a:schemeClr val="accent2"/>
              </a:solidFill>
              <a:round/>
            </a:ln>
            <a:effectLst/>
          </c:spPr>
          <c:marker>
            <c:symbol val="none"/>
          </c:marker>
          <c:val>
            <c:numRef>
              <c:f>Schedules!$E$14:$AB$14</c:f>
              <c:numCache>
                <c:formatCode>0</c:formatCode>
                <c:ptCount val="24"/>
                <c:pt idx="0">
                  <c:v>0</c:v>
                </c:pt>
                <c:pt idx="1">
                  <c:v>0</c:v>
                </c:pt>
                <c:pt idx="2">
                  <c:v>0</c:v>
                </c:pt>
                <c:pt idx="3">
                  <c:v>0</c:v>
                </c:pt>
                <c:pt idx="4">
                  <c:v>0</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0</c:v>
                </c:pt>
                <c:pt idx="20">
                  <c:v>0</c:v>
                </c:pt>
                <c:pt idx="21">
                  <c:v>0</c:v>
                </c:pt>
                <c:pt idx="22">
                  <c:v>0</c:v>
                </c:pt>
                <c:pt idx="23">
                  <c:v>0</c:v>
                </c:pt>
              </c:numCache>
            </c:numRef>
          </c:val>
          <c:smooth val="0"/>
          <c:extLst>
            <c:ext xmlns:c16="http://schemas.microsoft.com/office/drawing/2014/chart" uri="{C3380CC4-5D6E-409C-BE32-E72D297353CC}">
              <c16:uniqueId val="{00000001-0748-4F4D-90B3-3FD2F8F642B0}"/>
            </c:ext>
          </c:extLst>
        </c:ser>
        <c:ser>
          <c:idx val="2"/>
          <c:order val="2"/>
          <c:tx>
            <c:strRef>
              <c:f>Schedules!$D$15</c:f>
              <c:strCache>
                <c:ptCount val="1"/>
                <c:pt idx="0">
                  <c:v>Sunday</c:v>
                </c:pt>
              </c:strCache>
            </c:strRef>
          </c:tx>
          <c:spPr>
            <a:ln w="28575" cap="rnd">
              <a:solidFill>
                <a:schemeClr val="accent3"/>
              </a:solidFill>
              <a:round/>
            </a:ln>
            <a:effectLst/>
          </c:spPr>
          <c:marker>
            <c:symbol val="none"/>
          </c:marker>
          <c:val>
            <c:numRef>
              <c:f>Schedules!$E$15:$AB$15</c:f>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2-0748-4F4D-90B3-3FD2F8F642B0}"/>
            </c:ext>
          </c:extLst>
        </c:ser>
        <c:dLbls>
          <c:showLegendKey val="0"/>
          <c:showVal val="0"/>
          <c:showCatName val="0"/>
          <c:showSerName val="0"/>
          <c:showPercent val="0"/>
          <c:showBubbleSize val="0"/>
        </c:dLbls>
        <c:smooth val="0"/>
        <c:axId val="1801622976"/>
        <c:axId val="1801623456"/>
      </c:lineChart>
      <c:catAx>
        <c:axId val="1801622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1623456"/>
        <c:crosses val="autoZero"/>
        <c:auto val="1"/>
        <c:lblAlgn val="ctr"/>
        <c:lblOffset val="100"/>
        <c:noMultiLvlLbl val="0"/>
      </c:catAx>
      <c:valAx>
        <c:axId val="180162345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1622976"/>
        <c:crosses val="autoZero"/>
        <c:crossBetween val="between"/>
        <c:majorUnit val="0.2"/>
        <c:minorUnit val="0.1"/>
      </c:valAx>
      <c:spPr>
        <a:noFill/>
        <a:ln>
          <a:noFill/>
        </a:ln>
        <a:effectLst/>
      </c:spPr>
    </c:plotArea>
    <c:legend>
      <c:legendPos val="b"/>
      <c:layout>
        <c:manualLayout>
          <c:xMode val="edge"/>
          <c:yMode val="edge"/>
          <c:x val="0.69237621385546944"/>
          <c:y val="3.6261079321075841E-2"/>
          <c:w val="0.28941482691935089"/>
          <c:h val="0.313989478160883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Schedules!$A$32</c:f>
          <c:strCache>
            <c:ptCount val="1"/>
            <c:pt idx="0">
              <c:v>Horticulture Vegetative  Horticultural Lighting</c:v>
            </c:pt>
          </c:strCache>
        </c:strRef>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301696646995022"/>
          <c:y val="0.21667624165005125"/>
          <c:w val="0.86296940073898609"/>
          <c:h val="0.51057641399975218"/>
        </c:manualLayout>
      </c:layout>
      <c:lineChart>
        <c:grouping val="standard"/>
        <c:varyColors val="0"/>
        <c:ser>
          <c:idx val="0"/>
          <c:order val="0"/>
          <c:tx>
            <c:strRef>
              <c:f>Schedules!$D$32</c:f>
              <c:strCache>
                <c:ptCount val="1"/>
                <c:pt idx="0">
                  <c:v>Weekday</c:v>
                </c:pt>
              </c:strCache>
            </c:strRef>
          </c:tx>
          <c:spPr>
            <a:ln w="28575" cap="rnd">
              <a:solidFill>
                <a:schemeClr val="accent1"/>
              </a:solidFill>
              <a:round/>
            </a:ln>
            <a:effectLst/>
          </c:spPr>
          <c:marker>
            <c:symbol val="none"/>
          </c:marker>
          <c:val>
            <c:numRef>
              <c:f>Schedules!#REF!</c:f>
              <c:numCache>
                <c:formatCode>General</c:formatCode>
                <c:ptCount val="1"/>
                <c:pt idx="0">
                  <c:v>1</c:v>
                </c:pt>
              </c:numCache>
            </c:numRef>
          </c:val>
          <c:smooth val="0"/>
          <c:extLst>
            <c:ext xmlns:c16="http://schemas.microsoft.com/office/drawing/2014/chart" uri="{C3380CC4-5D6E-409C-BE32-E72D297353CC}">
              <c16:uniqueId val="{00000000-CDA0-47AB-BB9C-56C2B9BA9FF5}"/>
            </c:ext>
          </c:extLst>
        </c:ser>
        <c:ser>
          <c:idx val="1"/>
          <c:order val="1"/>
          <c:tx>
            <c:strRef>
              <c:f>Schedules!$D$33</c:f>
              <c:strCache>
                <c:ptCount val="1"/>
                <c:pt idx="0">
                  <c:v>Saturday</c:v>
                </c:pt>
              </c:strCache>
            </c:strRef>
          </c:tx>
          <c:spPr>
            <a:ln w="28575" cap="rnd">
              <a:solidFill>
                <a:schemeClr val="accent2"/>
              </a:solidFill>
              <a:round/>
            </a:ln>
            <a:effectLst/>
          </c:spPr>
          <c:marker>
            <c:symbol val="none"/>
          </c:marker>
          <c:val>
            <c:numRef>
              <c:f>Schedules!#REF!</c:f>
              <c:numCache>
                <c:formatCode>General</c:formatCode>
                <c:ptCount val="1"/>
                <c:pt idx="0">
                  <c:v>1</c:v>
                </c:pt>
              </c:numCache>
            </c:numRef>
          </c:val>
          <c:smooth val="0"/>
          <c:extLst>
            <c:ext xmlns:c16="http://schemas.microsoft.com/office/drawing/2014/chart" uri="{C3380CC4-5D6E-409C-BE32-E72D297353CC}">
              <c16:uniqueId val="{00000001-CDA0-47AB-BB9C-56C2B9BA9FF5}"/>
            </c:ext>
          </c:extLst>
        </c:ser>
        <c:ser>
          <c:idx val="2"/>
          <c:order val="2"/>
          <c:tx>
            <c:strRef>
              <c:f>Schedules!$D$34</c:f>
              <c:strCache>
                <c:ptCount val="1"/>
                <c:pt idx="0">
                  <c:v>Sunday</c:v>
                </c:pt>
              </c:strCache>
            </c:strRef>
          </c:tx>
          <c:spPr>
            <a:ln w="28575" cap="rnd">
              <a:solidFill>
                <a:schemeClr val="accent3"/>
              </a:solidFill>
              <a:round/>
            </a:ln>
            <a:effectLst/>
          </c:spPr>
          <c:marker>
            <c:symbol val="none"/>
          </c:marker>
          <c:val>
            <c:numRef>
              <c:f>Schedules!$E$34:$AB$34</c:f>
              <c:numCache>
                <c:formatCode>0.00</c:formatCode>
                <c:ptCount val="24"/>
                <c:pt idx="0">
                  <c:v>0</c:v>
                </c:pt>
                <c:pt idx="1">
                  <c:v>0</c:v>
                </c:pt>
                <c:pt idx="2">
                  <c:v>0</c:v>
                </c:pt>
                <c:pt idx="3">
                  <c:v>0</c:v>
                </c:pt>
                <c:pt idx="4">
                  <c:v>0</c:v>
                </c:pt>
                <c:pt idx="5">
                  <c:v>0</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numCache>
            </c:numRef>
          </c:val>
          <c:smooth val="0"/>
          <c:extLst>
            <c:ext xmlns:c16="http://schemas.microsoft.com/office/drawing/2014/chart" uri="{C3380CC4-5D6E-409C-BE32-E72D297353CC}">
              <c16:uniqueId val="{00000002-CDA0-47AB-BB9C-56C2B9BA9FF5}"/>
            </c:ext>
          </c:extLst>
        </c:ser>
        <c:dLbls>
          <c:showLegendKey val="0"/>
          <c:showVal val="0"/>
          <c:showCatName val="0"/>
          <c:showSerName val="0"/>
          <c:showPercent val="0"/>
          <c:showBubbleSize val="0"/>
        </c:dLbls>
        <c:smooth val="0"/>
        <c:axId val="1801622976"/>
        <c:axId val="1801623456"/>
      </c:lineChart>
      <c:catAx>
        <c:axId val="1801622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1623456"/>
        <c:crosses val="autoZero"/>
        <c:auto val="1"/>
        <c:lblAlgn val="ctr"/>
        <c:lblOffset val="100"/>
        <c:noMultiLvlLbl val="0"/>
      </c:catAx>
      <c:valAx>
        <c:axId val="180162345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1622976"/>
        <c:crosses val="autoZero"/>
        <c:crossBetween val="between"/>
        <c:majorUnit val="0.2"/>
        <c:minorUnit val="0.1"/>
      </c:valAx>
      <c:spPr>
        <a:noFill/>
        <a:ln>
          <a:noFill/>
        </a:ln>
        <a:effectLst/>
      </c:spPr>
    </c:plotArea>
    <c:legend>
      <c:legendPos val="b"/>
      <c:layout>
        <c:manualLayout>
          <c:xMode val="edge"/>
          <c:yMode val="edge"/>
          <c:x val="0.69237621385546944"/>
          <c:y val="3.6261079321075841E-2"/>
          <c:w val="0.28941482691935089"/>
          <c:h val="0.313989478160883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Schedules!$A$28</c:f>
          <c:strCache>
            <c:ptCount val="1"/>
            <c:pt idx="0">
              <c:v>Horticulture Drying Area  Lighting</c:v>
            </c:pt>
          </c:strCache>
        </c:strRef>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301696646995022"/>
          <c:y val="0.21667624165005125"/>
          <c:w val="0.86296940073898609"/>
          <c:h val="0.51057641399975218"/>
        </c:manualLayout>
      </c:layout>
      <c:lineChart>
        <c:grouping val="standard"/>
        <c:varyColors val="0"/>
        <c:ser>
          <c:idx val="0"/>
          <c:order val="0"/>
          <c:tx>
            <c:strRef>
              <c:f>Schedules!$D$28</c:f>
              <c:strCache>
                <c:ptCount val="1"/>
                <c:pt idx="0">
                  <c:v>Weekday</c:v>
                </c:pt>
              </c:strCache>
            </c:strRef>
          </c:tx>
          <c:spPr>
            <a:ln w="28575" cap="rnd">
              <a:solidFill>
                <a:schemeClr val="accent1"/>
              </a:solidFill>
              <a:round/>
            </a:ln>
            <a:effectLst/>
          </c:spPr>
          <c:marker>
            <c:symbol val="none"/>
          </c:marker>
          <c:val>
            <c:numRef>
              <c:f>Schedules!$E$28:$AB$28</c:f>
              <c:numCache>
                <c:formatCode>0.00</c:formatCode>
                <c:ptCount val="24"/>
                <c:pt idx="0">
                  <c:v>0.05</c:v>
                </c:pt>
                <c:pt idx="1">
                  <c:v>0.05</c:v>
                </c:pt>
                <c:pt idx="2">
                  <c:v>0.05</c:v>
                </c:pt>
                <c:pt idx="3">
                  <c:v>0.05</c:v>
                </c:pt>
                <c:pt idx="4">
                  <c:v>0.05</c:v>
                </c:pt>
                <c:pt idx="5">
                  <c:v>0.05</c:v>
                </c:pt>
                <c:pt idx="6">
                  <c:v>0.05</c:v>
                </c:pt>
                <c:pt idx="7">
                  <c:v>0.25</c:v>
                </c:pt>
                <c:pt idx="8">
                  <c:v>0.45</c:v>
                </c:pt>
                <c:pt idx="9">
                  <c:v>0.55000000000000004</c:v>
                </c:pt>
                <c:pt idx="10">
                  <c:v>0.55000000000000004</c:v>
                </c:pt>
                <c:pt idx="11">
                  <c:v>0.55000000000000004</c:v>
                </c:pt>
                <c:pt idx="12">
                  <c:v>0.55000000000000004</c:v>
                </c:pt>
                <c:pt idx="13">
                  <c:v>0.55000000000000004</c:v>
                </c:pt>
                <c:pt idx="14">
                  <c:v>0.55000000000000004</c:v>
                </c:pt>
                <c:pt idx="15">
                  <c:v>0.55000000000000004</c:v>
                </c:pt>
                <c:pt idx="16">
                  <c:v>0.55000000000000004</c:v>
                </c:pt>
                <c:pt idx="17">
                  <c:v>0.3</c:v>
                </c:pt>
                <c:pt idx="18">
                  <c:v>0.05</c:v>
                </c:pt>
                <c:pt idx="19">
                  <c:v>0.05</c:v>
                </c:pt>
                <c:pt idx="20">
                  <c:v>0.05</c:v>
                </c:pt>
                <c:pt idx="21">
                  <c:v>0.05</c:v>
                </c:pt>
                <c:pt idx="22">
                  <c:v>0.05</c:v>
                </c:pt>
                <c:pt idx="23">
                  <c:v>0.05</c:v>
                </c:pt>
              </c:numCache>
            </c:numRef>
          </c:val>
          <c:smooth val="0"/>
          <c:extLst>
            <c:ext xmlns:c16="http://schemas.microsoft.com/office/drawing/2014/chart" uri="{C3380CC4-5D6E-409C-BE32-E72D297353CC}">
              <c16:uniqueId val="{00000000-A267-4E1F-92B5-F569B6561890}"/>
            </c:ext>
          </c:extLst>
        </c:ser>
        <c:ser>
          <c:idx val="1"/>
          <c:order val="1"/>
          <c:tx>
            <c:strRef>
              <c:f>Schedules!$D$29</c:f>
              <c:strCache>
                <c:ptCount val="1"/>
                <c:pt idx="0">
                  <c:v>Saturday</c:v>
                </c:pt>
              </c:strCache>
            </c:strRef>
          </c:tx>
          <c:spPr>
            <a:ln w="28575" cap="rnd">
              <a:solidFill>
                <a:schemeClr val="accent2"/>
              </a:solidFill>
              <a:round/>
            </a:ln>
            <a:effectLst/>
          </c:spPr>
          <c:marker>
            <c:symbol val="none"/>
          </c:marker>
          <c:val>
            <c:numRef>
              <c:f>Schedules!$E$29:$AB$29</c:f>
              <c:numCache>
                <c:formatCode>0.00</c:formatCode>
                <c:ptCount val="24"/>
                <c:pt idx="0">
                  <c:v>0.05</c:v>
                </c:pt>
                <c:pt idx="1">
                  <c:v>0.05</c:v>
                </c:pt>
                <c:pt idx="2">
                  <c:v>0.05</c:v>
                </c:pt>
                <c:pt idx="3">
                  <c:v>0.05</c:v>
                </c:pt>
                <c:pt idx="4">
                  <c:v>0.05</c:v>
                </c:pt>
                <c:pt idx="5">
                  <c:v>0.05</c:v>
                </c:pt>
                <c:pt idx="6">
                  <c:v>0.05</c:v>
                </c:pt>
                <c:pt idx="7">
                  <c:v>0.05</c:v>
                </c:pt>
                <c:pt idx="8">
                  <c:v>0.08</c:v>
                </c:pt>
                <c:pt idx="9">
                  <c:v>0.24</c:v>
                </c:pt>
                <c:pt idx="10">
                  <c:v>0.24</c:v>
                </c:pt>
                <c:pt idx="11">
                  <c:v>0.24</c:v>
                </c:pt>
                <c:pt idx="12">
                  <c:v>0.05</c:v>
                </c:pt>
                <c:pt idx="13">
                  <c:v>0.05</c:v>
                </c:pt>
                <c:pt idx="14">
                  <c:v>0.05</c:v>
                </c:pt>
                <c:pt idx="15">
                  <c:v>0.05</c:v>
                </c:pt>
                <c:pt idx="16">
                  <c:v>0.05</c:v>
                </c:pt>
                <c:pt idx="17">
                  <c:v>0.05</c:v>
                </c:pt>
                <c:pt idx="18">
                  <c:v>0.05</c:v>
                </c:pt>
                <c:pt idx="19">
                  <c:v>0.05</c:v>
                </c:pt>
                <c:pt idx="20">
                  <c:v>0.05</c:v>
                </c:pt>
                <c:pt idx="21">
                  <c:v>0.05</c:v>
                </c:pt>
                <c:pt idx="22">
                  <c:v>0.05</c:v>
                </c:pt>
                <c:pt idx="23">
                  <c:v>0.05</c:v>
                </c:pt>
              </c:numCache>
            </c:numRef>
          </c:val>
          <c:smooth val="0"/>
          <c:extLst>
            <c:ext xmlns:c16="http://schemas.microsoft.com/office/drawing/2014/chart" uri="{C3380CC4-5D6E-409C-BE32-E72D297353CC}">
              <c16:uniqueId val="{00000001-A267-4E1F-92B5-F569B6561890}"/>
            </c:ext>
          </c:extLst>
        </c:ser>
        <c:ser>
          <c:idx val="2"/>
          <c:order val="2"/>
          <c:tx>
            <c:strRef>
              <c:f>Schedules!$D$30</c:f>
              <c:strCache>
                <c:ptCount val="1"/>
                <c:pt idx="0">
                  <c:v>Sunday</c:v>
                </c:pt>
              </c:strCache>
            </c:strRef>
          </c:tx>
          <c:spPr>
            <a:ln w="28575" cap="rnd">
              <a:solidFill>
                <a:schemeClr val="accent3"/>
              </a:solidFill>
              <a:round/>
            </a:ln>
            <a:effectLst/>
          </c:spPr>
          <c:marker>
            <c:symbol val="none"/>
          </c:marker>
          <c:val>
            <c:numRef>
              <c:f>Schedules!$E$30:$AB$30</c:f>
              <c:numCache>
                <c:formatCode>0.00</c:formatCode>
                <c:ptCount val="24"/>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numCache>
            </c:numRef>
          </c:val>
          <c:smooth val="0"/>
          <c:extLst>
            <c:ext xmlns:c16="http://schemas.microsoft.com/office/drawing/2014/chart" uri="{C3380CC4-5D6E-409C-BE32-E72D297353CC}">
              <c16:uniqueId val="{00000002-A267-4E1F-92B5-F569B6561890}"/>
            </c:ext>
          </c:extLst>
        </c:ser>
        <c:dLbls>
          <c:showLegendKey val="0"/>
          <c:showVal val="0"/>
          <c:showCatName val="0"/>
          <c:showSerName val="0"/>
          <c:showPercent val="0"/>
          <c:showBubbleSize val="0"/>
        </c:dLbls>
        <c:smooth val="0"/>
        <c:axId val="1801622976"/>
        <c:axId val="1801623456"/>
      </c:lineChart>
      <c:catAx>
        <c:axId val="1801622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1623456"/>
        <c:crosses val="autoZero"/>
        <c:auto val="1"/>
        <c:lblAlgn val="ctr"/>
        <c:lblOffset val="100"/>
        <c:noMultiLvlLbl val="0"/>
      </c:catAx>
      <c:valAx>
        <c:axId val="180162345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1622976"/>
        <c:crosses val="autoZero"/>
        <c:crossBetween val="between"/>
        <c:majorUnit val="0.2"/>
        <c:minorUnit val="0.1"/>
      </c:valAx>
      <c:spPr>
        <a:noFill/>
        <a:ln>
          <a:noFill/>
        </a:ln>
        <a:effectLst/>
      </c:spPr>
    </c:plotArea>
    <c:legend>
      <c:legendPos val="b"/>
      <c:layout>
        <c:manualLayout>
          <c:xMode val="edge"/>
          <c:yMode val="edge"/>
          <c:x val="0.69237621385546944"/>
          <c:y val="3.6261079321075841E-2"/>
          <c:w val="0.28941482691935089"/>
          <c:h val="0.313989478160883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Schedules!$A$16</c:f>
          <c:strCache>
            <c:ptCount val="1"/>
            <c:pt idx="0">
              <c:v>Office Areas Infiltration</c:v>
            </c:pt>
          </c:strCache>
        </c:strRef>
      </c:tx>
      <c:layout>
        <c:manualLayout>
          <c:xMode val="edge"/>
          <c:yMode val="edge"/>
          <c:x val="0.16279148668573137"/>
          <c:y val="5.613272073529444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301696646995022"/>
          <c:y val="0.21667624165005125"/>
          <c:w val="0.86296940073898609"/>
          <c:h val="0.51057641399975218"/>
        </c:manualLayout>
      </c:layout>
      <c:lineChart>
        <c:grouping val="standard"/>
        <c:varyColors val="0"/>
        <c:ser>
          <c:idx val="0"/>
          <c:order val="0"/>
          <c:tx>
            <c:strRef>
              <c:f>Schedules!$D$16</c:f>
              <c:strCache>
                <c:ptCount val="1"/>
                <c:pt idx="0">
                  <c:v>Weekday</c:v>
                </c:pt>
              </c:strCache>
            </c:strRef>
          </c:tx>
          <c:spPr>
            <a:ln w="28575" cap="rnd">
              <a:solidFill>
                <a:schemeClr val="accent1"/>
              </a:solidFill>
              <a:round/>
            </a:ln>
            <a:effectLst/>
          </c:spPr>
          <c:marker>
            <c:symbol val="none"/>
          </c:marker>
          <c:val>
            <c:numRef>
              <c:f>Schedules!$E$16:$AB$16</c:f>
              <c:numCache>
                <c:formatCode>0.00</c:formatCode>
                <c:ptCount val="24"/>
                <c:pt idx="0">
                  <c:v>1</c:v>
                </c:pt>
                <c:pt idx="1">
                  <c:v>1</c:v>
                </c:pt>
                <c:pt idx="2">
                  <c:v>1</c:v>
                </c:pt>
                <c:pt idx="3">
                  <c:v>1</c:v>
                </c:pt>
                <c:pt idx="4">
                  <c:v>1</c:v>
                </c:pt>
                <c:pt idx="5">
                  <c:v>0.25</c:v>
                </c:pt>
                <c:pt idx="6">
                  <c:v>0.25</c:v>
                </c:pt>
                <c:pt idx="7">
                  <c:v>0.25</c:v>
                </c:pt>
                <c:pt idx="8">
                  <c:v>0.25</c:v>
                </c:pt>
                <c:pt idx="9">
                  <c:v>0.25</c:v>
                </c:pt>
                <c:pt idx="10">
                  <c:v>0.25</c:v>
                </c:pt>
                <c:pt idx="11">
                  <c:v>0.25</c:v>
                </c:pt>
                <c:pt idx="12">
                  <c:v>0.25</c:v>
                </c:pt>
                <c:pt idx="13">
                  <c:v>0.25</c:v>
                </c:pt>
                <c:pt idx="14">
                  <c:v>0.25</c:v>
                </c:pt>
                <c:pt idx="15">
                  <c:v>0.25</c:v>
                </c:pt>
                <c:pt idx="16">
                  <c:v>0.25</c:v>
                </c:pt>
                <c:pt idx="17">
                  <c:v>0.25</c:v>
                </c:pt>
                <c:pt idx="18">
                  <c:v>0.25</c:v>
                </c:pt>
                <c:pt idx="19">
                  <c:v>0.25</c:v>
                </c:pt>
                <c:pt idx="20">
                  <c:v>0.25</c:v>
                </c:pt>
                <c:pt idx="21">
                  <c:v>0.25</c:v>
                </c:pt>
                <c:pt idx="22">
                  <c:v>0.25</c:v>
                </c:pt>
                <c:pt idx="23">
                  <c:v>0.25</c:v>
                </c:pt>
              </c:numCache>
            </c:numRef>
          </c:val>
          <c:smooth val="0"/>
          <c:extLst>
            <c:ext xmlns:c16="http://schemas.microsoft.com/office/drawing/2014/chart" uri="{C3380CC4-5D6E-409C-BE32-E72D297353CC}">
              <c16:uniqueId val="{00000000-897E-40A6-ABDA-32B64FD7CDBB}"/>
            </c:ext>
          </c:extLst>
        </c:ser>
        <c:ser>
          <c:idx val="1"/>
          <c:order val="1"/>
          <c:tx>
            <c:strRef>
              <c:f>Schedules!$D$17</c:f>
              <c:strCache>
                <c:ptCount val="1"/>
                <c:pt idx="0">
                  <c:v>Saturday</c:v>
                </c:pt>
              </c:strCache>
            </c:strRef>
          </c:tx>
          <c:spPr>
            <a:ln w="28575" cap="rnd">
              <a:solidFill>
                <a:schemeClr val="accent2"/>
              </a:solidFill>
              <a:round/>
            </a:ln>
            <a:effectLst/>
          </c:spPr>
          <c:marker>
            <c:symbol val="none"/>
          </c:marker>
          <c:val>
            <c:numRef>
              <c:f>Schedules!$E$17:$AB$17</c:f>
              <c:numCache>
                <c:formatCode>0.00</c:formatCode>
                <c:ptCount val="24"/>
                <c:pt idx="0">
                  <c:v>1</c:v>
                </c:pt>
                <c:pt idx="1">
                  <c:v>1</c:v>
                </c:pt>
                <c:pt idx="2">
                  <c:v>1</c:v>
                </c:pt>
                <c:pt idx="3">
                  <c:v>1</c:v>
                </c:pt>
                <c:pt idx="4">
                  <c:v>1</c:v>
                </c:pt>
                <c:pt idx="5">
                  <c:v>0.25</c:v>
                </c:pt>
                <c:pt idx="6">
                  <c:v>0.25</c:v>
                </c:pt>
                <c:pt idx="7">
                  <c:v>0.25</c:v>
                </c:pt>
                <c:pt idx="8">
                  <c:v>0.25</c:v>
                </c:pt>
                <c:pt idx="9">
                  <c:v>0.25</c:v>
                </c:pt>
                <c:pt idx="10">
                  <c:v>0.25</c:v>
                </c:pt>
                <c:pt idx="11">
                  <c:v>0.25</c:v>
                </c:pt>
                <c:pt idx="12">
                  <c:v>0.25</c:v>
                </c:pt>
                <c:pt idx="13">
                  <c:v>0.25</c:v>
                </c:pt>
                <c:pt idx="14">
                  <c:v>0.25</c:v>
                </c:pt>
                <c:pt idx="15">
                  <c:v>0.25</c:v>
                </c:pt>
                <c:pt idx="16">
                  <c:v>0.25</c:v>
                </c:pt>
                <c:pt idx="17">
                  <c:v>0.25</c:v>
                </c:pt>
                <c:pt idx="18">
                  <c:v>0.25</c:v>
                </c:pt>
                <c:pt idx="19">
                  <c:v>1</c:v>
                </c:pt>
                <c:pt idx="20">
                  <c:v>1</c:v>
                </c:pt>
                <c:pt idx="21">
                  <c:v>1</c:v>
                </c:pt>
                <c:pt idx="22">
                  <c:v>1</c:v>
                </c:pt>
                <c:pt idx="23">
                  <c:v>1</c:v>
                </c:pt>
              </c:numCache>
            </c:numRef>
          </c:val>
          <c:smooth val="0"/>
          <c:extLst>
            <c:ext xmlns:c16="http://schemas.microsoft.com/office/drawing/2014/chart" uri="{C3380CC4-5D6E-409C-BE32-E72D297353CC}">
              <c16:uniqueId val="{00000001-897E-40A6-ABDA-32B64FD7CDBB}"/>
            </c:ext>
          </c:extLst>
        </c:ser>
        <c:ser>
          <c:idx val="2"/>
          <c:order val="2"/>
          <c:tx>
            <c:strRef>
              <c:f>Schedules!$D$18</c:f>
              <c:strCache>
                <c:ptCount val="1"/>
                <c:pt idx="0">
                  <c:v>Sunday</c:v>
                </c:pt>
              </c:strCache>
            </c:strRef>
          </c:tx>
          <c:spPr>
            <a:ln w="28575" cap="rnd">
              <a:solidFill>
                <a:schemeClr val="accent3"/>
              </a:solidFill>
              <a:round/>
            </a:ln>
            <a:effectLst/>
          </c:spPr>
          <c:marker>
            <c:symbol val="none"/>
          </c:marker>
          <c:val>
            <c:numRef>
              <c:f>Schedules!$E$18:$AB$18</c:f>
              <c:numCache>
                <c:formatCode>0.00</c:formatCode>
                <c:ptCount val="24"/>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numCache>
            </c:numRef>
          </c:val>
          <c:smooth val="0"/>
          <c:extLst>
            <c:ext xmlns:c16="http://schemas.microsoft.com/office/drawing/2014/chart" uri="{C3380CC4-5D6E-409C-BE32-E72D297353CC}">
              <c16:uniqueId val="{00000002-897E-40A6-ABDA-32B64FD7CDBB}"/>
            </c:ext>
          </c:extLst>
        </c:ser>
        <c:dLbls>
          <c:showLegendKey val="0"/>
          <c:showVal val="0"/>
          <c:showCatName val="0"/>
          <c:showSerName val="0"/>
          <c:showPercent val="0"/>
          <c:showBubbleSize val="0"/>
        </c:dLbls>
        <c:smooth val="0"/>
        <c:axId val="1801622976"/>
        <c:axId val="1801623456"/>
      </c:lineChart>
      <c:catAx>
        <c:axId val="1801622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1623456"/>
        <c:crosses val="autoZero"/>
        <c:auto val="1"/>
        <c:lblAlgn val="ctr"/>
        <c:lblOffset val="100"/>
        <c:noMultiLvlLbl val="0"/>
      </c:catAx>
      <c:valAx>
        <c:axId val="180162345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1622976"/>
        <c:crosses val="autoZero"/>
        <c:crossBetween val="between"/>
        <c:majorUnit val="0.2"/>
        <c:minorUnit val="0.1"/>
      </c:valAx>
      <c:spPr>
        <a:noFill/>
        <a:ln>
          <a:noFill/>
        </a:ln>
        <a:effectLst/>
      </c:spPr>
    </c:plotArea>
    <c:legend>
      <c:legendPos val="b"/>
      <c:layout>
        <c:manualLayout>
          <c:xMode val="edge"/>
          <c:yMode val="edge"/>
          <c:x val="0.70147921451656803"/>
          <c:y val="4.5616307071028511E-2"/>
          <c:w val="0.28941482691935089"/>
          <c:h val="0.313989478160883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Schedules!$A$25</c:f>
          <c:strCache>
            <c:ptCount val="1"/>
            <c:pt idx="0">
              <c:v>Horticulture Drying Area Occupancy</c:v>
            </c:pt>
          </c:strCache>
        </c:strRef>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301696646995022"/>
          <c:y val="0.21667624165005125"/>
          <c:w val="0.86296940073898609"/>
          <c:h val="0.51057641399975218"/>
        </c:manualLayout>
      </c:layout>
      <c:lineChart>
        <c:grouping val="standard"/>
        <c:varyColors val="0"/>
        <c:ser>
          <c:idx val="0"/>
          <c:order val="0"/>
          <c:tx>
            <c:strRef>
              <c:f>Schedules!$D$25</c:f>
              <c:strCache>
                <c:ptCount val="1"/>
                <c:pt idx="0">
                  <c:v>Weekday</c:v>
                </c:pt>
              </c:strCache>
            </c:strRef>
          </c:tx>
          <c:spPr>
            <a:ln w="28575" cap="rnd">
              <a:solidFill>
                <a:schemeClr val="accent1"/>
              </a:solidFill>
              <a:round/>
            </a:ln>
            <a:effectLst/>
          </c:spPr>
          <c:marker>
            <c:symbol val="none"/>
          </c:marker>
          <c:val>
            <c:numRef>
              <c:f>Schedules!$E$25:$AB$25</c:f>
              <c:numCache>
                <c:formatCode>0.00</c:formatCode>
                <c:ptCount val="24"/>
                <c:pt idx="0">
                  <c:v>0</c:v>
                </c:pt>
                <c:pt idx="1">
                  <c:v>0</c:v>
                </c:pt>
                <c:pt idx="2">
                  <c:v>0</c:v>
                </c:pt>
                <c:pt idx="3">
                  <c:v>0</c:v>
                </c:pt>
                <c:pt idx="4">
                  <c:v>0</c:v>
                </c:pt>
                <c:pt idx="5">
                  <c:v>0</c:v>
                </c:pt>
                <c:pt idx="6">
                  <c:v>0</c:v>
                </c:pt>
                <c:pt idx="7">
                  <c:v>0.15</c:v>
                </c:pt>
                <c:pt idx="8">
                  <c:v>0.7</c:v>
                </c:pt>
                <c:pt idx="9">
                  <c:v>0.9</c:v>
                </c:pt>
                <c:pt idx="10">
                  <c:v>0.9</c:v>
                </c:pt>
                <c:pt idx="11">
                  <c:v>0.9</c:v>
                </c:pt>
                <c:pt idx="12">
                  <c:v>0.5</c:v>
                </c:pt>
                <c:pt idx="13">
                  <c:v>0.85</c:v>
                </c:pt>
                <c:pt idx="14">
                  <c:v>0.85</c:v>
                </c:pt>
                <c:pt idx="15">
                  <c:v>0.85</c:v>
                </c:pt>
                <c:pt idx="16">
                  <c:v>0.2</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0-3892-4483-86FE-254C151EC2DC}"/>
            </c:ext>
          </c:extLst>
        </c:ser>
        <c:ser>
          <c:idx val="1"/>
          <c:order val="1"/>
          <c:tx>
            <c:strRef>
              <c:f>Schedules!$D$26</c:f>
              <c:strCache>
                <c:ptCount val="1"/>
                <c:pt idx="0">
                  <c:v>Saturday</c:v>
                </c:pt>
              </c:strCache>
            </c:strRef>
          </c:tx>
          <c:spPr>
            <a:ln w="28575" cap="rnd">
              <a:solidFill>
                <a:schemeClr val="accent2"/>
              </a:solidFill>
              <a:round/>
            </a:ln>
            <a:effectLst/>
          </c:spPr>
          <c:marker>
            <c:symbol val="none"/>
          </c:marker>
          <c:val>
            <c:numRef>
              <c:f>Schedules!$E$26:$AB$26</c:f>
              <c:numCache>
                <c:formatCode>0.00</c:formatCode>
                <c:ptCount val="24"/>
                <c:pt idx="0">
                  <c:v>0</c:v>
                </c:pt>
                <c:pt idx="1">
                  <c:v>0</c:v>
                </c:pt>
                <c:pt idx="2">
                  <c:v>0</c:v>
                </c:pt>
                <c:pt idx="3">
                  <c:v>0</c:v>
                </c:pt>
                <c:pt idx="4">
                  <c:v>0</c:v>
                </c:pt>
                <c:pt idx="5">
                  <c:v>0</c:v>
                </c:pt>
                <c:pt idx="6">
                  <c:v>0</c:v>
                </c:pt>
                <c:pt idx="7">
                  <c:v>0</c:v>
                </c:pt>
                <c:pt idx="8">
                  <c:v>0.2</c:v>
                </c:pt>
                <c:pt idx="9">
                  <c:v>0.2</c:v>
                </c:pt>
                <c:pt idx="10">
                  <c:v>0.2</c:v>
                </c:pt>
                <c:pt idx="11">
                  <c:v>0.2</c:v>
                </c:pt>
                <c:pt idx="12">
                  <c:v>0.1</c:v>
                </c:pt>
                <c:pt idx="13">
                  <c:v>0.1</c:v>
                </c:pt>
                <c:pt idx="14">
                  <c:v>0.1</c:v>
                </c:pt>
                <c:pt idx="15">
                  <c:v>0.1</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3892-4483-86FE-254C151EC2DC}"/>
            </c:ext>
          </c:extLst>
        </c:ser>
        <c:ser>
          <c:idx val="2"/>
          <c:order val="2"/>
          <c:tx>
            <c:strRef>
              <c:f>Schedules!$D$27</c:f>
              <c:strCache>
                <c:ptCount val="1"/>
                <c:pt idx="0">
                  <c:v>Sunday</c:v>
                </c:pt>
              </c:strCache>
            </c:strRef>
          </c:tx>
          <c:spPr>
            <a:ln w="28575" cap="rnd">
              <a:solidFill>
                <a:schemeClr val="accent3"/>
              </a:solidFill>
              <a:round/>
            </a:ln>
            <a:effectLst/>
          </c:spPr>
          <c:marker>
            <c:symbol val="none"/>
          </c:marker>
          <c:val>
            <c:numRef>
              <c:f>Schedules!$E$27:$AB$27</c:f>
              <c:numCache>
                <c:formatCode>0.00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2-3892-4483-86FE-254C151EC2DC}"/>
            </c:ext>
          </c:extLst>
        </c:ser>
        <c:dLbls>
          <c:showLegendKey val="0"/>
          <c:showVal val="0"/>
          <c:showCatName val="0"/>
          <c:showSerName val="0"/>
          <c:showPercent val="0"/>
          <c:showBubbleSize val="0"/>
        </c:dLbls>
        <c:smooth val="0"/>
        <c:axId val="1801622976"/>
        <c:axId val="1801623456"/>
      </c:lineChart>
      <c:catAx>
        <c:axId val="1801622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1623456"/>
        <c:crosses val="autoZero"/>
        <c:auto val="1"/>
        <c:lblAlgn val="ctr"/>
        <c:lblOffset val="100"/>
        <c:noMultiLvlLbl val="0"/>
      </c:catAx>
      <c:valAx>
        <c:axId val="180162345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1622976"/>
        <c:crosses val="autoZero"/>
        <c:crossBetween val="between"/>
        <c:majorUnit val="0.2"/>
        <c:minorUnit val="0.1"/>
      </c:valAx>
      <c:spPr>
        <a:noFill/>
        <a:ln>
          <a:noFill/>
        </a:ln>
        <a:effectLst/>
      </c:spPr>
    </c:plotArea>
    <c:legend>
      <c:legendPos val="b"/>
      <c:layout>
        <c:manualLayout>
          <c:xMode val="edge"/>
          <c:yMode val="edge"/>
          <c:x val="0.69237621385546944"/>
          <c:y val="3.6261079321075841E-2"/>
          <c:w val="0.28941482691935089"/>
          <c:h val="0.313989478160883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Schedules!$A$35</c:f>
          <c:strCache>
            <c:ptCount val="1"/>
            <c:pt idx="0">
              <c:v>Horticulture Vegetative Occupancy</c:v>
            </c:pt>
          </c:strCache>
        </c:strRef>
      </c:tx>
      <c:layout>
        <c:manualLayout>
          <c:xMode val="edge"/>
          <c:yMode val="edge"/>
          <c:x val="0.46695984552979503"/>
          <c:y val="2.9919187333020413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301696646995022"/>
          <c:y val="0.21667624165005125"/>
          <c:w val="0.86296940073898609"/>
          <c:h val="0.51057641399975218"/>
        </c:manualLayout>
      </c:layout>
      <c:lineChart>
        <c:grouping val="standard"/>
        <c:varyColors val="0"/>
        <c:ser>
          <c:idx val="0"/>
          <c:order val="0"/>
          <c:tx>
            <c:strRef>
              <c:f>Schedules!$D$35</c:f>
              <c:strCache>
                <c:ptCount val="1"/>
                <c:pt idx="0">
                  <c:v>Weekday</c:v>
                </c:pt>
              </c:strCache>
            </c:strRef>
          </c:tx>
          <c:spPr>
            <a:ln w="28575" cap="rnd">
              <a:solidFill>
                <a:schemeClr val="accent1"/>
              </a:solidFill>
              <a:round/>
            </a:ln>
            <a:effectLst/>
          </c:spPr>
          <c:marker>
            <c:symbol val="none"/>
          </c:marker>
          <c:val>
            <c:numRef>
              <c:f>Schedules!$E$35:$AB$35</c:f>
              <c:numCache>
                <c:formatCode>0.00</c:formatCode>
                <c:ptCount val="24"/>
                <c:pt idx="0">
                  <c:v>0</c:v>
                </c:pt>
                <c:pt idx="1">
                  <c:v>0</c:v>
                </c:pt>
                <c:pt idx="2">
                  <c:v>0</c:v>
                </c:pt>
                <c:pt idx="3">
                  <c:v>0</c:v>
                </c:pt>
                <c:pt idx="4">
                  <c:v>0</c:v>
                </c:pt>
                <c:pt idx="5">
                  <c:v>0</c:v>
                </c:pt>
                <c:pt idx="6">
                  <c:v>0.1</c:v>
                </c:pt>
                <c:pt idx="7">
                  <c:v>0.2</c:v>
                </c:pt>
                <c:pt idx="8">
                  <c:v>0.95</c:v>
                </c:pt>
                <c:pt idx="9">
                  <c:v>0.95</c:v>
                </c:pt>
                <c:pt idx="10">
                  <c:v>0.95</c:v>
                </c:pt>
                <c:pt idx="11">
                  <c:v>0.95</c:v>
                </c:pt>
                <c:pt idx="12">
                  <c:v>0.5</c:v>
                </c:pt>
                <c:pt idx="13">
                  <c:v>0.95</c:v>
                </c:pt>
                <c:pt idx="14">
                  <c:v>0.95</c:v>
                </c:pt>
                <c:pt idx="15">
                  <c:v>0.95</c:v>
                </c:pt>
                <c:pt idx="16">
                  <c:v>0.95</c:v>
                </c:pt>
                <c:pt idx="17">
                  <c:v>0.3</c:v>
                </c:pt>
                <c:pt idx="18">
                  <c:v>0.1</c:v>
                </c:pt>
                <c:pt idx="19">
                  <c:v>0.1</c:v>
                </c:pt>
                <c:pt idx="20">
                  <c:v>0.1</c:v>
                </c:pt>
                <c:pt idx="21">
                  <c:v>0.1</c:v>
                </c:pt>
                <c:pt idx="22">
                  <c:v>0.05</c:v>
                </c:pt>
                <c:pt idx="23">
                  <c:v>0.05</c:v>
                </c:pt>
              </c:numCache>
            </c:numRef>
          </c:val>
          <c:smooth val="0"/>
          <c:extLst>
            <c:ext xmlns:c16="http://schemas.microsoft.com/office/drawing/2014/chart" uri="{C3380CC4-5D6E-409C-BE32-E72D297353CC}">
              <c16:uniqueId val="{00000000-3FD9-442E-BAED-CDBB21663685}"/>
            </c:ext>
          </c:extLst>
        </c:ser>
        <c:ser>
          <c:idx val="1"/>
          <c:order val="1"/>
          <c:tx>
            <c:strRef>
              <c:f>Schedules!$D$36</c:f>
              <c:strCache>
                <c:ptCount val="1"/>
                <c:pt idx="0">
                  <c:v>Saturday</c:v>
                </c:pt>
              </c:strCache>
            </c:strRef>
          </c:tx>
          <c:spPr>
            <a:ln w="28575" cap="rnd">
              <a:solidFill>
                <a:schemeClr val="accent2"/>
              </a:solidFill>
              <a:round/>
            </a:ln>
            <a:effectLst/>
          </c:spPr>
          <c:marker>
            <c:symbol val="none"/>
          </c:marker>
          <c:val>
            <c:numRef>
              <c:f>Schedules!$E$36:$AB$36</c:f>
              <c:numCache>
                <c:formatCode>0.00</c:formatCode>
                <c:ptCount val="24"/>
                <c:pt idx="0">
                  <c:v>0</c:v>
                </c:pt>
                <c:pt idx="1">
                  <c:v>0</c:v>
                </c:pt>
                <c:pt idx="2">
                  <c:v>0</c:v>
                </c:pt>
                <c:pt idx="3">
                  <c:v>0</c:v>
                </c:pt>
                <c:pt idx="4">
                  <c:v>0</c:v>
                </c:pt>
                <c:pt idx="5">
                  <c:v>0</c:v>
                </c:pt>
                <c:pt idx="6">
                  <c:v>0.1</c:v>
                </c:pt>
                <c:pt idx="7">
                  <c:v>0.1</c:v>
                </c:pt>
                <c:pt idx="8">
                  <c:v>0.3</c:v>
                </c:pt>
                <c:pt idx="9">
                  <c:v>0.3</c:v>
                </c:pt>
                <c:pt idx="10">
                  <c:v>0.3</c:v>
                </c:pt>
                <c:pt idx="11">
                  <c:v>0.3</c:v>
                </c:pt>
                <c:pt idx="12">
                  <c:v>0.1</c:v>
                </c:pt>
                <c:pt idx="13">
                  <c:v>0.1</c:v>
                </c:pt>
                <c:pt idx="14">
                  <c:v>0.1</c:v>
                </c:pt>
                <c:pt idx="15">
                  <c:v>0.1</c:v>
                </c:pt>
                <c:pt idx="16">
                  <c:v>0.1</c:v>
                </c:pt>
                <c:pt idx="17">
                  <c:v>0.05</c:v>
                </c:pt>
                <c:pt idx="18">
                  <c:v>0.05</c:v>
                </c:pt>
                <c:pt idx="19">
                  <c:v>0</c:v>
                </c:pt>
                <c:pt idx="20">
                  <c:v>0</c:v>
                </c:pt>
                <c:pt idx="21">
                  <c:v>0</c:v>
                </c:pt>
                <c:pt idx="22">
                  <c:v>0</c:v>
                </c:pt>
                <c:pt idx="23">
                  <c:v>0</c:v>
                </c:pt>
              </c:numCache>
            </c:numRef>
          </c:val>
          <c:smooth val="0"/>
          <c:extLst>
            <c:ext xmlns:c16="http://schemas.microsoft.com/office/drawing/2014/chart" uri="{C3380CC4-5D6E-409C-BE32-E72D297353CC}">
              <c16:uniqueId val="{00000001-3FD9-442E-BAED-CDBB21663685}"/>
            </c:ext>
          </c:extLst>
        </c:ser>
        <c:ser>
          <c:idx val="2"/>
          <c:order val="2"/>
          <c:tx>
            <c:strRef>
              <c:f>Schedules!$D$37</c:f>
              <c:strCache>
                <c:ptCount val="1"/>
                <c:pt idx="0">
                  <c:v>Sunday</c:v>
                </c:pt>
              </c:strCache>
            </c:strRef>
          </c:tx>
          <c:spPr>
            <a:ln w="28575" cap="rnd">
              <a:solidFill>
                <a:schemeClr val="accent3"/>
              </a:solidFill>
              <a:round/>
            </a:ln>
            <a:effectLst/>
          </c:spPr>
          <c:marker>
            <c:symbol val="none"/>
          </c:marker>
          <c:val>
            <c:numRef>
              <c:f>Schedules!$E$37:$AB$37</c:f>
              <c:numCache>
                <c:formatCode>0.00</c:formatCode>
                <c:ptCount val="24"/>
                <c:pt idx="0">
                  <c:v>0</c:v>
                </c:pt>
                <c:pt idx="1">
                  <c:v>0</c:v>
                </c:pt>
                <c:pt idx="2">
                  <c:v>0</c:v>
                </c:pt>
                <c:pt idx="3">
                  <c:v>0</c:v>
                </c:pt>
                <c:pt idx="4">
                  <c:v>0</c:v>
                </c:pt>
                <c:pt idx="5">
                  <c:v>0</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2-3FD9-442E-BAED-CDBB21663685}"/>
            </c:ext>
          </c:extLst>
        </c:ser>
        <c:dLbls>
          <c:showLegendKey val="0"/>
          <c:showVal val="0"/>
          <c:showCatName val="0"/>
          <c:showSerName val="0"/>
          <c:showPercent val="0"/>
          <c:showBubbleSize val="0"/>
        </c:dLbls>
        <c:smooth val="0"/>
        <c:axId val="1801622976"/>
        <c:axId val="1801623456"/>
      </c:lineChart>
      <c:catAx>
        <c:axId val="1801622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1623456"/>
        <c:crosses val="autoZero"/>
        <c:auto val="1"/>
        <c:lblAlgn val="ctr"/>
        <c:lblOffset val="100"/>
        <c:noMultiLvlLbl val="0"/>
      </c:catAx>
      <c:valAx>
        <c:axId val="180162345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1622976"/>
        <c:crosses val="autoZero"/>
        <c:crossBetween val="between"/>
        <c:majorUnit val="0.2"/>
        <c:minorUnit val="0.1"/>
      </c:valAx>
      <c:spPr>
        <a:noFill/>
        <a:ln>
          <a:noFill/>
        </a:ln>
        <a:effectLst/>
      </c:spPr>
    </c:plotArea>
    <c:legend>
      <c:legendPos val="b"/>
      <c:layout>
        <c:manualLayout>
          <c:xMode val="edge"/>
          <c:yMode val="edge"/>
          <c:x val="0.69237621385546944"/>
          <c:y val="3.6261079321075841E-2"/>
          <c:w val="0.28941482691935089"/>
          <c:h val="0.313989478160883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Schedules!$A$38</c:f>
          <c:strCache>
            <c:ptCount val="1"/>
            <c:pt idx="0">
              <c:v>Horticulture Flowering Occupancy</c:v>
            </c:pt>
          </c:strCache>
        </c:strRef>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301696646995022"/>
          <c:y val="0.21667624165005125"/>
          <c:w val="0.86296940073898609"/>
          <c:h val="0.51057641399975218"/>
        </c:manualLayout>
      </c:layout>
      <c:lineChart>
        <c:grouping val="standard"/>
        <c:varyColors val="0"/>
        <c:ser>
          <c:idx val="0"/>
          <c:order val="0"/>
          <c:tx>
            <c:strRef>
              <c:f>Schedules!$D$38</c:f>
              <c:strCache>
                <c:ptCount val="1"/>
                <c:pt idx="0">
                  <c:v>Weekday</c:v>
                </c:pt>
              </c:strCache>
            </c:strRef>
          </c:tx>
          <c:spPr>
            <a:ln w="28575" cap="rnd">
              <a:solidFill>
                <a:schemeClr val="accent1"/>
              </a:solidFill>
              <a:round/>
            </a:ln>
            <a:effectLst/>
          </c:spPr>
          <c:marker>
            <c:symbol val="none"/>
          </c:marker>
          <c:val>
            <c:numRef>
              <c:f>Schedules!$E$38:$AB$38</c:f>
              <c:numCache>
                <c:formatCode>0.00</c:formatCode>
                <c:ptCount val="24"/>
                <c:pt idx="0">
                  <c:v>0</c:v>
                </c:pt>
                <c:pt idx="1">
                  <c:v>0</c:v>
                </c:pt>
                <c:pt idx="2">
                  <c:v>0</c:v>
                </c:pt>
                <c:pt idx="3">
                  <c:v>0</c:v>
                </c:pt>
                <c:pt idx="4">
                  <c:v>0</c:v>
                </c:pt>
                <c:pt idx="5">
                  <c:v>0</c:v>
                </c:pt>
                <c:pt idx="6">
                  <c:v>0.1</c:v>
                </c:pt>
                <c:pt idx="7">
                  <c:v>0.2</c:v>
                </c:pt>
                <c:pt idx="8">
                  <c:v>0.95</c:v>
                </c:pt>
                <c:pt idx="9">
                  <c:v>0.95</c:v>
                </c:pt>
                <c:pt idx="10">
                  <c:v>0.95</c:v>
                </c:pt>
                <c:pt idx="11">
                  <c:v>0.95</c:v>
                </c:pt>
                <c:pt idx="12">
                  <c:v>0.5</c:v>
                </c:pt>
                <c:pt idx="13">
                  <c:v>0.95</c:v>
                </c:pt>
                <c:pt idx="14">
                  <c:v>0.95</c:v>
                </c:pt>
                <c:pt idx="15">
                  <c:v>0.95</c:v>
                </c:pt>
                <c:pt idx="16">
                  <c:v>0.95</c:v>
                </c:pt>
                <c:pt idx="17">
                  <c:v>0.3</c:v>
                </c:pt>
                <c:pt idx="18">
                  <c:v>0.1</c:v>
                </c:pt>
                <c:pt idx="19">
                  <c:v>0.1</c:v>
                </c:pt>
                <c:pt idx="20">
                  <c:v>0.1</c:v>
                </c:pt>
                <c:pt idx="21">
                  <c:v>0.1</c:v>
                </c:pt>
                <c:pt idx="22">
                  <c:v>0.05</c:v>
                </c:pt>
                <c:pt idx="23">
                  <c:v>0.05</c:v>
                </c:pt>
              </c:numCache>
            </c:numRef>
          </c:val>
          <c:smooth val="0"/>
          <c:extLst>
            <c:ext xmlns:c16="http://schemas.microsoft.com/office/drawing/2014/chart" uri="{C3380CC4-5D6E-409C-BE32-E72D297353CC}">
              <c16:uniqueId val="{00000000-12AC-4F55-879C-80C92EF74F31}"/>
            </c:ext>
          </c:extLst>
        </c:ser>
        <c:ser>
          <c:idx val="1"/>
          <c:order val="1"/>
          <c:tx>
            <c:strRef>
              <c:f>Schedules!$D$39</c:f>
              <c:strCache>
                <c:ptCount val="1"/>
                <c:pt idx="0">
                  <c:v>Saturday</c:v>
                </c:pt>
              </c:strCache>
            </c:strRef>
          </c:tx>
          <c:spPr>
            <a:ln w="28575" cap="rnd">
              <a:solidFill>
                <a:schemeClr val="accent2"/>
              </a:solidFill>
              <a:round/>
            </a:ln>
            <a:effectLst/>
          </c:spPr>
          <c:marker>
            <c:symbol val="none"/>
          </c:marker>
          <c:val>
            <c:numRef>
              <c:f>Schedules!$E$39:$AB$39</c:f>
              <c:numCache>
                <c:formatCode>0.00</c:formatCode>
                <c:ptCount val="24"/>
                <c:pt idx="0">
                  <c:v>0</c:v>
                </c:pt>
                <c:pt idx="1">
                  <c:v>0</c:v>
                </c:pt>
                <c:pt idx="2">
                  <c:v>0</c:v>
                </c:pt>
                <c:pt idx="3">
                  <c:v>0</c:v>
                </c:pt>
                <c:pt idx="4">
                  <c:v>0</c:v>
                </c:pt>
                <c:pt idx="5">
                  <c:v>0</c:v>
                </c:pt>
                <c:pt idx="6">
                  <c:v>0.1</c:v>
                </c:pt>
                <c:pt idx="7">
                  <c:v>0.1</c:v>
                </c:pt>
                <c:pt idx="8">
                  <c:v>0.3</c:v>
                </c:pt>
                <c:pt idx="9">
                  <c:v>0.3</c:v>
                </c:pt>
                <c:pt idx="10">
                  <c:v>0.3</c:v>
                </c:pt>
                <c:pt idx="11">
                  <c:v>0.3</c:v>
                </c:pt>
                <c:pt idx="12">
                  <c:v>0.1</c:v>
                </c:pt>
                <c:pt idx="13">
                  <c:v>0.1</c:v>
                </c:pt>
                <c:pt idx="14">
                  <c:v>0.1</c:v>
                </c:pt>
                <c:pt idx="15">
                  <c:v>0.1</c:v>
                </c:pt>
                <c:pt idx="16">
                  <c:v>0.1</c:v>
                </c:pt>
                <c:pt idx="17">
                  <c:v>0.05</c:v>
                </c:pt>
                <c:pt idx="18">
                  <c:v>0.05</c:v>
                </c:pt>
                <c:pt idx="19">
                  <c:v>0</c:v>
                </c:pt>
                <c:pt idx="20">
                  <c:v>0</c:v>
                </c:pt>
                <c:pt idx="21">
                  <c:v>0</c:v>
                </c:pt>
                <c:pt idx="22">
                  <c:v>0</c:v>
                </c:pt>
                <c:pt idx="23">
                  <c:v>0</c:v>
                </c:pt>
              </c:numCache>
            </c:numRef>
          </c:val>
          <c:smooth val="0"/>
          <c:extLst>
            <c:ext xmlns:c16="http://schemas.microsoft.com/office/drawing/2014/chart" uri="{C3380CC4-5D6E-409C-BE32-E72D297353CC}">
              <c16:uniqueId val="{00000001-12AC-4F55-879C-80C92EF74F31}"/>
            </c:ext>
          </c:extLst>
        </c:ser>
        <c:ser>
          <c:idx val="2"/>
          <c:order val="2"/>
          <c:tx>
            <c:strRef>
              <c:f>Schedules!$D$40</c:f>
              <c:strCache>
                <c:ptCount val="1"/>
                <c:pt idx="0">
                  <c:v>Sunday</c:v>
                </c:pt>
              </c:strCache>
            </c:strRef>
          </c:tx>
          <c:spPr>
            <a:ln w="28575" cap="rnd">
              <a:solidFill>
                <a:schemeClr val="accent3"/>
              </a:solidFill>
              <a:round/>
            </a:ln>
            <a:effectLst/>
          </c:spPr>
          <c:marker>
            <c:symbol val="none"/>
          </c:marker>
          <c:val>
            <c:numRef>
              <c:f>Schedules!$E$40:$AB$40</c:f>
              <c:numCache>
                <c:formatCode>0.00</c:formatCode>
                <c:ptCount val="24"/>
                <c:pt idx="0">
                  <c:v>0</c:v>
                </c:pt>
                <c:pt idx="1">
                  <c:v>0</c:v>
                </c:pt>
                <c:pt idx="2">
                  <c:v>0</c:v>
                </c:pt>
                <c:pt idx="3">
                  <c:v>0</c:v>
                </c:pt>
                <c:pt idx="4">
                  <c:v>0</c:v>
                </c:pt>
                <c:pt idx="5">
                  <c:v>0</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2-12AC-4F55-879C-80C92EF74F31}"/>
            </c:ext>
          </c:extLst>
        </c:ser>
        <c:dLbls>
          <c:showLegendKey val="0"/>
          <c:showVal val="0"/>
          <c:showCatName val="0"/>
          <c:showSerName val="0"/>
          <c:showPercent val="0"/>
          <c:showBubbleSize val="0"/>
        </c:dLbls>
        <c:smooth val="0"/>
        <c:axId val="1801622976"/>
        <c:axId val="1801623456"/>
      </c:lineChart>
      <c:catAx>
        <c:axId val="1801622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1623456"/>
        <c:crosses val="autoZero"/>
        <c:auto val="1"/>
        <c:lblAlgn val="ctr"/>
        <c:lblOffset val="100"/>
        <c:noMultiLvlLbl val="0"/>
      </c:catAx>
      <c:valAx>
        <c:axId val="180162345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1622976"/>
        <c:crosses val="autoZero"/>
        <c:crossBetween val="between"/>
        <c:majorUnit val="0.2"/>
        <c:minorUnit val="0.1"/>
      </c:valAx>
      <c:spPr>
        <a:noFill/>
        <a:ln>
          <a:noFill/>
        </a:ln>
        <a:effectLst/>
      </c:spPr>
    </c:plotArea>
    <c:legend>
      <c:legendPos val="b"/>
      <c:layout>
        <c:manualLayout>
          <c:xMode val="edge"/>
          <c:yMode val="edge"/>
          <c:x val="0.69237621385546944"/>
          <c:y val="3.6261079321075841E-2"/>
          <c:w val="0.28941482691935089"/>
          <c:h val="0.313989478160883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000" b="1" i="0" u="none" strike="noStrike" kern="1200" spc="0" baseline="0">
                <a:solidFill>
                  <a:sysClr val="windowText" lastClr="000000"/>
                </a:solidFill>
                <a:latin typeface="Arial" panose="020B0604020202020204" pitchFamily="34" charset="0"/>
                <a:cs typeface="Arial" panose="020B0604020202020204" pitchFamily="34" charset="0"/>
              </a:rPr>
              <a:t>Assembly Elevator</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301696646995022"/>
          <c:y val="0.21667624165005125"/>
          <c:w val="0.86296940073898609"/>
          <c:h val="0.51057641399975218"/>
        </c:manualLayout>
      </c:layout>
      <c:lineChart>
        <c:grouping val="standard"/>
        <c:varyColors val="0"/>
        <c:ser>
          <c:idx val="0"/>
          <c:order val="0"/>
          <c:spPr>
            <a:ln w="28575" cap="rnd">
              <a:solidFill>
                <a:schemeClr val="accent1"/>
              </a:solidFill>
              <a:round/>
            </a:ln>
            <a:effectLst/>
          </c:spPr>
          <c:marker>
            <c:symbol val="none"/>
          </c:marker>
          <c:val>
            <c:numRef>
              <c:f>Schedules!#REF!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Schedules!#REF!</c15:sqref>
                        </c15:formulaRef>
                      </c:ext>
                    </c:extLst>
                    <c:strCache>
                      <c:ptCount val="1"/>
                      <c:pt idx="0">
                        <c:v>#REF!</c:v>
                      </c:pt>
                    </c:strCache>
                  </c:strRef>
                </c15:tx>
              </c15:filteredSeriesTitle>
            </c:ext>
            <c:ext xmlns:c16="http://schemas.microsoft.com/office/drawing/2014/chart" uri="{C3380CC4-5D6E-409C-BE32-E72D297353CC}">
              <c16:uniqueId val="{00000000-01DF-4F16-99AF-01E1B8DDB62F}"/>
            </c:ext>
          </c:extLst>
        </c:ser>
        <c:ser>
          <c:idx val="1"/>
          <c:order val="1"/>
          <c:spPr>
            <a:ln w="28575" cap="rnd">
              <a:solidFill>
                <a:schemeClr val="accent2"/>
              </a:solidFill>
              <a:round/>
            </a:ln>
            <a:effectLst/>
          </c:spPr>
          <c:marker>
            <c:symbol val="none"/>
          </c:marker>
          <c:val>
            <c:numRef>
              <c:f>Schedules!#REF!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Schedules!#REF!</c15:sqref>
                        </c15:formulaRef>
                      </c:ext>
                    </c:extLst>
                    <c:strCache>
                      <c:ptCount val="1"/>
                      <c:pt idx="0">
                        <c:v>#REF!</c:v>
                      </c:pt>
                    </c:strCache>
                  </c:strRef>
                </c15:tx>
              </c15:filteredSeriesTitle>
            </c:ext>
            <c:ext xmlns:c16="http://schemas.microsoft.com/office/drawing/2014/chart" uri="{C3380CC4-5D6E-409C-BE32-E72D297353CC}">
              <c16:uniqueId val="{00000001-01DF-4F16-99AF-01E1B8DDB62F}"/>
            </c:ext>
          </c:extLst>
        </c:ser>
        <c:ser>
          <c:idx val="2"/>
          <c:order val="2"/>
          <c:spPr>
            <a:ln w="28575" cap="rnd">
              <a:solidFill>
                <a:schemeClr val="accent3"/>
              </a:solidFill>
              <a:round/>
            </a:ln>
            <a:effectLst/>
          </c:spPr>
          <c:marker>
            <c:symbol val="none"/>
          </c:marker>
          <c:val>
            <c:numRef>
              <c:f>Schedules!#REF!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Schedules!#REF!</c15:sqref>
                        </c15:formulaRef>
                      </c:ext>
                    </c:extLst>
                    <c:strCache>
                      <c:ptCount val="1"/>
                      <c:pt idx="0">
                        <c:v>#REF!</c:v>
                      </c:pt>
                    </c:strCache>
                  </c:strRef>
                </c15:tx>
              </c15:filteredSeriesTitle>
            </c:ext>
            <c:ext xmlns:c16="http://schemas.microsoft.com/office/drawing/2014/chart" uri="{C3380CC4-5D6E-409C-BE32-E72D297353CC}">
              <c16:uniqueId val="{00000002-01DF-4F16-99AF-01E1B8DDB62F}"/>
            </c:ext>
          </c:extLst>
        </c:ser>
        <c:dLbls>
          <c:showLegendKey val="0"/>
          <c:showVal val="0"/>
          <c:showCatName val="0"/>
          <c:showSerName val="0"/>
          <c:showPercent val="0"/>
          <c:showBubbleSize val="0"/>
        </c:dLbls>
        <c:smooth val="0"/>
        <c:axId val="1801622976"/>
        <c:axId val="1801623456"/>
      </c:lineChart>
      <c:catAx>
        <c:axId val="1801622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1623456"/>
        <c:crosses val="autoZero"/>
        <c:auto val="1"/>
        <c:lblAlgn val="ctr"/>
        <c:lblOffset val="100"/>
        <c:noMultiLvlLbl val="0"/>
      </c:catAx>
      <c:valAx>
        <c:axId val="180162345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1622976"/>
        <c:crosses val="autoZero"/>
        <c:crossBetween val="between"/>
        <c:majorUnit val="0.2"/>
        <c:minorUnit val="0.1"/>
      </c:valAx>
      <c:spPr>
        <a:noFill/>
        <a:ln>
          <a:noFill/>
        </a:ln>
        <a:effectLst/>
      </c:spPr>
    </c:plotArea>
    <c:legend>
      <c:legendPos val="b"/>
      <c:layout>
        <c:manualLayout>
          <c:xMode val="edge"/>
          <c:yMode val="edge"/>
          <c:x val="0.69237621385546944"/>
          <c:y val="3.6261079321075841E-2"/>
          <c:w val="0.28941482691935089"/>
          <c:h val="0.313989478160883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 Water Removal Curve Factors vs. Entering</a:t>
            </a:r>
            <a:r>
              <a:rPr lang="en-US" baseline="0"/>
              <a:t> RH &amp; DB</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v>60</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Lit>
              <c:formatCode>General</c:formatCode>
              <c:ptCount val="4"/>
              <c:pt idx="0">
                <c:v>45</c:v>
              </c:pt>
              <c:pt idx="1">
                <c:v>50</c:v>
              </c:pt>
              <c:pt idx="2">
                <c:v>55</c:v>
              </c:pt>
              <c:pt idx="3">
                <c:v>60</c:v>
              </c:pt>
            </c:numLit>
          </c:xVal>
          <c:yVal>
            <c:numLit>
              <c:formatCode>General</c:formatCode>
              <c:ptCount val="4"/>
              <c:pt idx="0">
                <c:v>0.20708081246037724</c:v>
              </c:pt>
              <c:pt idx="1">
                <c:v>0.33667119757982561</c:v>
              </c:pt>
              <c:pt idx="2">
                <c:v>0.45586923520250938</c:v>
              </c:pt>
              <c:pt idx="3">
                <c:v>0.56467492532842956</c:v>
              </c:pt>
            </c:numLit>
          </c:yVal>
          <c:smooth val="1"/>
          <c:extLst>
            <c:ext xmlns:c16="http://schemas.microsoft.com/office/drawing/2014/chart" uri="{C3380CC4-5D6E-409C-BE32-E72D297353CC}">
              <c16:uniqueId val="{00000000-FB63-DE40-B499-3287BEDE9469}"/>
            </c:ext>
          </c:extLst>
        </c:ser>
        <c:ser>
          <c:idx val="1"/>
          <c:order val="1"/>
          <c:tx>
            <c:v>70</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Lit>
              <c:formatCode>General</c:formatCode>
              <c:ptCount val="4"/>
              <c:pt idx="0">
                <c:v>45</c:v>
              </c:pt>
              <c:pt idx="1">
                <c:v>50</c:v>
              </c:pt>
              <c:pt idx="2">
                <c:v>55</c:v>
              </c:pt>
              <c:pt idx="3">
                <c:v>60</c:v>
              </c:pt>
            </c:numLit>
          </c:xVal>
          <c:yVal>
            <c:numLit>
              <c:formatCode>General</c:formatCode>
              <c:ptCount val="4"/>
              <c:pt idx="0">
                <c:v>0.48501783063416837</c:v>
              </c:pt>
              <c:pt idx="1">
                <c:v>0.60491852039570182</c:v>
              </c:pt>
              <c:pt idx="2">
                <c:v>0.71442686266047095</c:v>
              </c:pt>
              <c:pt idx="3">
                <c:v>0.81354285742847632</c:v>
              </c:pt>
            </c:numLit>
          </c:yVal>
          <c:smooth val="1"/>
          <c:extLst>
            <c:ext xmlns:c16="http://schemas.microsoft.com/office/drawing/2014/chart" uri="{C3380CC4-5D6E-409C-BE32-E72D297353CC}">
              <c16:uniqueId val="{00000001-FB63-DE40-B499-3287BEDE9469}"/>
            </c:ext>
          </c:extLst>
        </c:ser>
        <c:ser>
          <c:idx val="2"/>
          <c:order val="2"/>
          <c:tx>
            <c:v>80</c:v>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Lit>
              <c:formatCode>General</c:formatCode>
              <c:ptCount val="4"/>
              <c:pt idx="0">
                <c:v>45</c:v>
              </c:pt>
              <c:pt idx="1">
                <c:v>50</c:v>
              </c:pt>
              <c:pt idx="2">
                <c:v>55</c:v>
              </c:pt>
              <c:pt idx="3">
                <c:v>60</c:v>
              </c:pt>
            </c:numLit>
          </c:xVal>
          <c:yVal>
            <c:numLit>
              <c:formatCode>General</c:formatCode>
              <c:ptCount val="4"/>
              <c:pt idx="0">
                <c:v>0.70054405918628504</c:v>
              </c:pt>
              <c:pt idx="1">
                <c:v>0.81075505358990374</c:v>
              </c:pt>
              <c:pt idx="2">
                <c:v>0.91057370049675834</c:v>
              </c:pt>
              <c:pt idx="3">
                <c:v>0.99999999990684896</c:v>
              </c:pt>
            </c:numLit>
          </c:yVal>
          <c:smooth val="1"/>
          <c:extLst>
            <c:ext xmlns:c16="http://schemas.microsoft.com/office/drawing/2014/chart" uri="{C3380CC4-5D6E-409C-BE32-E72D297353CC}">
              <c16:uniqueId val="{00000002-FB63-DE40-B499-3287BEDE9469}"/>
            </c:ext>
          </c:extLst>
        </c:ser>
        <c:dLbls>
          <c:showLegendKey val="0"/>
          <c:showVal val="0"/>
          <c:showCatName val="0"/>
          <c:showSerName val="0"/>
          <c:showPercent val="0"/>
          <c:showBubbleSize val="0"/>
        </c:dLbls>
        <c:axId val="232756176"/>
        <c:axId val="232758576"/>
      </c:scatterChart>
      <c:valAx>
        <c:axId val="232756176"/>
        <c:scaling>
          <c:orientation val="minMax"/>
          <c:max val="70"/>
          <c:min val="3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Relative Humidity [%]</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758576"/>
        <c:crosses val="autoZero"/>
        <c:crossBetween val="midCat"/>
      </c:valAx>
      <c:valAx>
        <c:axId val="2327585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75617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Schedules!$A$7</c:f>
          <c:strCache>
            <c:ptCount val="1"/>
            <c:pt idx="0">
              <c:v>Office Areas Occupancy</c:v>
            </c:pt>
          </c:strCache>
        </c:strRef>
      </c:tx>
      <c:layout>
        <c:manualLayout>
          <c:xMode val="edge"/>
          <c:yMode val="edge"/>
          <c:x val="0.2367861765064723"/>
          <c:y val="2.6943552732831087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301696646995022"/>
          <c:y val="0.21667624165005125"/>
          <c:w val="0.86296940073898609"/>
          <c:h val="0.51057641399975218"/>
        </c:manualLayout>
      </c:layout>
      <c:lineChart>
        <c:grouping val="standard"/>
        <c:varyColors val="0"/>
        <c:ser>
          <c:idx val="0"/>
          <c:order val="0"/>
          <c:tx>
            <c:strRef>
              <c:f>Schedules!$D$7</c:f>
              <c:strCache>
                <c:ptCount val="1"/>
                <c:pt idx="0">
                  <c:v>Weekday</c:v>
                </c:pt>
              </c:strCache>
            </c:strRef>
          </c:tx>
          <c:spPr>
            <a:ln w="28575" cap="rnd">
              <a:solidFill>
                <a:schemeClr val="accent1"/>
              </a:solidFill>
              <a:round/>
            </a:ln>
            <a:effectLst/>
          </c:spPr>
          <c:marker>
            <c:symbol val="none"/>
          </c:marker>
          <c:val>
            <c:numRef>
              <c:f>Schedules!$E$7:$AB$7</c:f>
              <c:numCache>
                <c:formatCode>0.00</c:formatCode>
                <c:ptCount val="24"/>
                <c:pt idx="0">
                  <c:v>0</c:v>
                </c:pt>
                <c:pt idx="1">
                  <c:v>0</c:v>
                </c:pt>
                <c:pt idx="2">
                  <c:v>0</c:v>
                </c:pt>
                <c:pt idx="3">
                  <c:v>0</c:v>
                </c:pt>
                <c:pt idx="4">
                  <c:v>0</c:v>
                </c:pt>
                <c:pt idx="5">
                  <c:v>0</c:v>
                </c:pt>
                <c:pt idx="6">
                  <c:v>0.1</c:v>
                </c:pt>
                <c:pt idx="7">
                  <c:v>0.2</c:v>
                </c:pt>
                <c:pt idx="8">
                  <c:v>0.95</c:v>
                </c:pt>
                <c:pt idx="9">
                  <c:v>0.95</c:v>
                </c:pt>
                <c:pt idx="10">
                  <c:v>0.95</c:v>
                </c:pt>
                <c:pt idx="11">
                  <c:v>0.95</c:v>
                </c:pt>
                <c:pt idx="12">
                  <c:v>0.5</c:v>
                </c:pt>
                <c:pt idx="13">
                  <c:v>0.95</c:v>
                </c:pt>
                <c:pt idx="14">
                  <c:v>0.95</c:v>
                </c:pt>
                <c:pt idx="15">
                  <c:v>0.95</c:v>
                </c:pt>
                <c:pt idx="16">
                  <c:v>0.95</c:v>
                </c:pt>
                <c:pt idx="17">
                  <c:v>0.3</c:v>
                </c:pt>
                <c:pt idx="18">
                  <c:v>0.1</c:v>
                </c:pt>
                <c:pt idx="19">
                  <c:v>0.1</c:v>
                </c:pt>
                <c:pt idx="20">
                  <c:v>0.1</c:v>
                </c:pt>
                <c:pt idx="21">
                  <c:v>0.1</c:v>
                </c:pt>
                <c:pt idx="22">
                  <c:v>0.05</c:v>
                </c:pt>
                <c:pt idx="23">
                  <c:v>0.05</c:v>
                </c:pt>
              </c:numCache>
            </c:numRef>
          </c:val>
          <c:smooth val="0"/>
          <c:extLst>
            <c:ext xmlns:c16="http://schemas.microsoft.com/office/drawing/2014/chart" uri="{C3380CC4-5D6E-409C-BE32-E72D297353CC}">
              <c16:uniqueId val="{00000000-3883-423A-9D30-BCCF0FB1CCB4}"/>
            </c:ext>
          </c:extLst>
        </c:ser>
        <c:ser>
          <c:idx val="1"/>
          <c:order val="1"/>
          <c:tx>
            <c:strRef>
              <c:f>Schedules!$D$8</c:f>
              <c:strCache>
                <c:ptCount val="1"/>
                <c:pt idx="0">
                  <c:v>Saturday</c:v>
                </c:pt>
              </c:strCache>
            </c:strRef>
          </c:tx>
          <c:spPr>
            <a:ln w="28575" cap="rnd">
              <a:solidFill>
                <a:schemeClr val="accent2"/>
              </a:solidFill>
              <a:round/>
            </a:ln>
            <a:effectLst/>
          </c:spPr>
          <c:marker>
            <c:symbol val="none"/>
          </c:marker>
          <c:val>
            <c:numRef>
              <c:f>Schedules!$E$8:$AB$8</c:f>
              <c:numCache>
                <c:formatCode>0.00</c:formatCode>
                <c:ptCount val="24"/>
                <c:pt idx="0">
                  <c:v>0</c:v>
                </c:pt>
                <c:pt idx="1">
                  <c:v>0</c:v>
                </c:pt>
                <c:pt idx="2">
                  <c:v>0</c:v>
                </c:pt>
                <c:pt idx="3">
                  <c:v>0</c:v>
                </c:pt>
                <c:pt idx="4">
                  <c:v>0</c:v>
                </c:pt>
                <c:pt idx="5">
                  <c:v>0</c:v>
                </c:pt>
                <c:pt idx="6">
                  <c:v>0.1</c:v>
                </c:pt>
                <c:pt idx="7">
                  <c:v>0.1</c:v>
                </c:pt>
                <c:pt idx="8">
                  <c:v>0.3</c:v>
                </c:pt>
                <c:pt idx="9">
                  <c:v>0.3</c:v>
                </c:pt>
                <c:pt idx="10">
                  <c:v>0.3</c:v>
                </c:pt>
                <c:pt idx="11">
                  <c:v>0.3</c:v>
                </c:pt>
                <c:pt idx="12">
                  <c:v>0.1</c:v>
                </c:pt>
                <c:pt idx="13">
                  <c:v>0.1</c:v>
                </c:pt>
                <c:pt idx="14">
                  <c:v>0.1</c:v>
                </c:pt>
                <c:pt idx="15">
                  <c:v>0.1</c:v>
                </c:pt>
                <c:pt idx="16">
                  <c:v>0.1</c:v>
                </c:pt>
                <c:pt idx="17">
                  <c:v>0.05</c:v>
                </c:pt>
                <c:pt idx="18">
                  <c:v>0.05</c:v>
                </c:pt>
                <c:pt idx="19">
                  <c:v>0</c:v>
                </c:pt>
                <c:pt idx="20">
                  <c:v>0</c:v>
                </c:pt>
                <c:pt idx="21">
                  <c:v>0</c:v>
                </c:pt>
                <c:pt idx="22">
                  <c:v>0</c:v>
                </c:pt>
                <c:pt idx="23">
                  <c:v>0</c:v>
                </c:pt>
              </c:numCache>
            </c:numRef>
          </c:val>
          <c:smooth val="0"/>
          <c:extLst>
            <c:ext xmlns:c16="http://schemas.microsoft.com/office/drawing/2014/chart" uri="{C3380CC4-5D6E-409C-BE32-E72D297353CC}">
              <c16:uniqueId val="{00000001-3883-423A-9D30-BCCF0FB1CCB4}"/>
            </c:ext>
          </c:extLst>
        </c:ser>
        <c:ser>
          <c:idx val="2"/>
          <c:order val="2"/>
          <c:tx>
            <c:strRef>
              <c:f>Schedules!$D$9</c:f>
              <c:strCache>
                <c:ptCount val="1"/>
                <c:pt idx="0">
                  <c:v>Sunday</c:v>
                </c:pt>
              </c:strCache>
            </c:strRef>
          </c:tx>
          <c:spPr>
            <a:ln w="28575" cap="rnd">
              <a:solidFill>
                <a:schemeClr val="accent3"/>
              </a:solidFill>
              <a:round/>
            </a:ln>
            <a:effectLst/>
          </c:spPr>
          <c:marker>
            <c:symbol val="none"/>
          </c:marker>
          <c:val>
            <c:numRef>
              <c:f>Schedules!$E$9:$AB$9</c:f>
              <c:numCache>
                <c:formatCode>0.00</c:formatCode>
                <c:ptCount val="24"/>
                <c:pt idx="0">
                  <c:v>0</c:v>
                </c:pt>
                <c:pt idx="1">
                  <c:v>0</c:v>
                </c:pt>
                <c:pt idx="2">
                  <c:v>0</c:v>
                </c:pt>
                <c:pt idx="3">
                  <c:v>0</c:v>
                </c:pt>
                <c:pt idx="4">
                  <c:v>0</c:v>
                </c:pt>
                <c:pt idx="5">
                  <c:v>0</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2-3883-423A-9D30-BCCF0FB1CCB4}"/>
            </c:ext>
          </c:extLst>
        </c:ser>
        <c:dLbls>
          <c:showLegendKey val="0"/>
          <c:showVal val="0"/>
          <c:showCatName val="0"/>
          <c:showSerName val="0"/>
          <c:showPercent val="0"/>
          <c:showBubbleSize val="0"/>
        </c:dLbls>
        <c:smooth val="0"/>
        <c:axId val="1801622976"/>
        <c:axId val="1801623456"/>
      </c:lineChart>
      <c:catAx>
        <c:axId val="1801622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1623456"/>
        <c:crosses val="autoZero"/>
        <c:auto val="1"/>
        <c:lblAlgn val="ctr"/>
        <c:lblOffset val="100"/>
        <c:noMultiLvlLbl val="0"/>
      </c:catAx>
      <c:valAx>
        <c:axId val="180162345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1622976"/>
        <c:crosses val="autoZero"/>
        <c:crossBetween val="between"/>
        <c:majorUnit val="0.2"/>
        <c:minorUnit val="0.1"/>
      </c:valAx>
      <c:spPr>
        <a:noFill/>
        <a:ln>
          <a:noFill/>
        </a:ln>
        <a:effectLst/>
      </c:spPr>
    </c:plotArea>
    <c:legend>
      <c:legendPos val="b"/>
      <c:layout>
        <c:manualLayout>
          <c:xMode val="edge"/>
          <c:yMode val="edge"/>
          <c:x val="0.69237621385546944"/>
          <c:y val="3.6261079321075841E-2"/>
          <c:w val="0.28941482691935089"/>
          <c:h val="0.313989478160883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Flower</a:t>
            </a:r>
            <a:r>
              <a:rPr lang="en-US" baseline="0"/>
              <a:t> Room </a:t>
            </a:r>
            <a:r>
              <a:rPr lang="en-US"/>
              <a:t>Lighting Schedule</a:t>
            </a:r>
            <a:r>
              <a:rPr lang="en-US" baseline="0"/>
              <a:t> (67-day Cycle)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spPr>
            <a:solidFill>
              <a:schemeClr val="accent1">
                <a:shade val="41000"/>
              </a:schemeClr>
            </a:solidFill>
            <a:ln>
              <a:noFill/>
            </a:ln>
            <a:effectLst/>
          </c:spPr>
          <c:invertIfNegative val="0"/>
          <c:cat>
            <c:strRef>
              <c:f>Schedules!$D$41:$D$45</c:f>
              <c:strCache>
                <c:ptCount val="5"/>
                <c:pt idx="0">
                  <c:v>Initial Stage (7 days)</c:v>
                </c:pt>
                <c:pt idx="1">
                  <c:v>Early Stage (7 days)</c:v>
                </c:pt>
                <c:pt idx="2">
                  <c:v>Mid Stage (35 days)</c:v>
                </c:pt>
                <c:pt idx="3">
                  <c:v>Late Stage (14 days)</c:v>
                </c:pt>
                <c:pt idx="4">
                  <c:v>Crop Rotation (4 days)</c:v>
                </c:pt>
              </c:strCache>
            </c:strRef>
          </c:cat>
          <c:val>
            <c:numRef>
              <c:f>Schedules!$F$41:$F$45</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8F89-CE49-B703-21FE2BAF8FC2}"/>
            </c:ext>
          </c:extLst>
        </c:ser>
        <c:ser>
          <c:idx val="2"/>
          <c:order val="1"/>
          <c:spPr>
            <a:solidFill>
              <a:schemeClr val="accent1">
                <a:shade val="46000"/>
              </a:schemeClr>
            </a:solidFill>
            <a:ln>
              <a:noFill/>
            </a:ln>
            <a:effectLst/>
          </c:spPr>
          <c:invertIfNegative val="0"/>
          <c:cat>
            <c:strRef>
              <c:f>Schedules!$D$41:$D$45</c:f>
              <c:strCache>
                <c:ptCount val="5"/>
                <c:pt idx="0">
                  <c:v>Initial Stage (7 days)</c:v>
                </c:pt>
                <c:pt idx="1">
                  <c:v>Early Stage (7 days)</c:v>
                </c:pt>
                <c:pt idx="2">
                  <c:v>Mid Stage (35 days)</c:v>
                </c:pt>
                <c:pt idx="3">
                  <c:v>Late Stage (14 days)</c:v>
                </c:pt>
                <c:pt idx="4">
                  <c:v>Crop Rotation (4 days)</c:v>
                </c:pt>
              </c:strCache>
            </c:strRef>
          </c:cat>
          <c:val>
            <c:numRef>
              <c:f>Schedules!$G$41:$G$45</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1-8F89-CE49-B703-21FE2BAF8FC2}"/>
            </c:ext>
          </c:extLst>
        </c:ser>
        <c:ser>
          <c:idx val="3"/>
          <c:order val="2"/>
          <c:spPr>
            <a:solidFill>
              <a:schemeClr val="accent1">
                <a:shade val="52000"/>
              </a:schemeClr>
            </a:solidFill>
            <a:ln>
              <a:noFill/>
            </a:ln>
            <a:effectLst/>
          </c:spPr>
          <c:invertIfNegative val="0"/>
          <c:cat>
            <c:strRef>
              <c:f>Schedules!$D$41:$D$45</c:f>
              <c:strCache>
                <c:ptCount val="5"/>
                <c:pt idx="0">
                  <c:v>Initial Stage (7 days)</c:v>
                </c:pt>
                <c:pt idx="1">
                  <c:v>Early Stage (7 days)</c:v>
                </c:pt>
                <c:pt idx="2">
                  <c:v>Mid Stage (35 days)</c:v>
                </c:pt>
                <c:pt idx="3">
                  <c:v>Late Stage (14 days)</c:v>
                </c:pt>
                <c:pt idx="4">
                  <c:v>Crop Rotation (4 days)</c:v>
                </c:pt>
              </c:strCache>
            </c:strRef>
          </c:cat>
          <c:val>
            <c:numRef>
              <c:f>Schedules!$H$41:$H$45</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2-8F89-CE49-B703-21FE2BAF8FC2}"/>
            </c:ext>
          </c:extLst>
        </c:ser>
        <c:ser>
          <c:idx val="4"/>
          <c:order val="3"/>
          <c:spPr>
            <a:solidFill>
              <a:schemeClr val="accent1">
                <a:shade val="58000"/>
              </a:schemeClr>
            </a:solidFill>
            <a:ln>
              <a:noFill/>
            </a:ln>
            <a:effectLst/>
          </c:spPr>
          <c:invertIfNegative val="0"/>
          <c:cat>
            <c:strRef>
              <c:f>Schedules!$D$41:$D$45</c:f>
              <c:strCache>
                <c:ptCount val="5"/>
                <c:pt idx="0">
                  <c:v>Initial Stage (7 days)</c:v>
                </c:pt>
                <c:pt idx="1">
                  <c:v>Early Stage (7 days)</c:v>
                </c:pt>
                <c:pt idx="2">
                  <c:v>Mid Stage (35 days)</c:v>
                </c:pt>
                <c:pt idx="3">
                  <c:v>Late Stage (14 days)</c:v>
                </c:pt>
                <c:pt idx="4">
                  <c:v>Crop Rotation (4 days)</c:v>
                </c:pt>
              </c:strCache>
            </c:strRef>
          </c:cat>
          <c:val>
            <c:numRef>
              <c:f>Schedules!$I$41:$I$45</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3-8F89-CE49-B703-21FE2BAF8FC2}"/>
            </c:ext>
          </c:extLst>
        </c:ser>
        <c:ser>
          <c:idx val="5"/>
          <c:order val="4"/>
          <c:spPr>
            <a:solidFill>
              <a:schemeClr val="accent1">
                <a:shade val="63000"/>
              </a:schemeClr>
            </a:solidFill>
            <a:ln>
              <a:noFill/>
            </a:ln>
            <a:effectLst/>
          </c:spPr>
          <c:invertIfNegative val="0"/>
          <c:cat>
            <c:strRef>
              <c:f>Schedules!$D$41:$D$45</c:f>
              <c:strCache>
                <c:ptCount val="5"/>
                <c:pt idx="0">
                  <c:v>Initial Stage (7 days)</c:v>
                </c:pt>
                <c:pt idx="1">
                  <c:v>Early Stage (7 days)</c:v>
                </c:pt>
                <c:pt idx="2">
                  <c:v>Mid Stage (35 days)</c:v>
                </c:pt>
                <c:pt idx="3">
                  <c:v>Late Stage (14 days)</c:v>
                </c:pt>
                <c:pt idx="4">
                  <c:v>Crop Rotation (4 days)</c:v>
                </c:pt>
              </c:strCache>
            </c:strRef>
          </c:cat>
          <c:val>
            <c:numRef>
              <c:f>Schedules!$J$41:$J$45</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4-8F89-CE49-B703-21FE2BAF8FC2}"/>
            </c:ext>
          </c:extLst>
        </c:ser>
        <c:ser>
          <c:idx val="0"/>
          <c:order val="5"/>
          <c:spPr>
            <a:solidFill>
              <a:schemeClr val="accent1">
                <a:shade val="35000"/>
              </a:schemeClr>
            </a:solidFill>
            <a:ln>
              <a:noFill/>
            </a:ln>
            <a:effectLst/>
          </c:spPr>
          <c:invertIfNegative val="0"/>
          <c:cat>
            <c:strRef>
              <c:f>Schedules!$D$41:$D$45</c:f>
              <c:strCache>
                <c:ptCount val="5"/>
                <c:pt idx="0">
                  <c:v>Initial Stage (7 days)</c:v>
                </c:pt>
                <c:pt idx="1">
                  <c:v>Early Stage (7 days)</c:v>
                </c:pt>
                <c:pt idx="2">
                  <c:v>Mid Stage (35 days)</c:v>
                </c:pt>
                <c:pt idx="3">
                  <c:v>Late Stage (14 days)</c:v>
                </c:pt>
                <c:pt idx="4">
                  <c:v>Crop Rotation (4 days)</c:v>
                </c:pt>
              </c:strCache>
            </c:strRef>
          </c:cat>
          <c:val>
            <c:numRef>
              <c:f>Schedules!$E$41:$E$45</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5-8F89-CE49-B703-21FE2BAF8FC2}"/>
            </c:ext>
          </c:extLst>
        </c:ser>
        <c:ser>
          <c:idx val="6"/>
          <c:order val="6"/>
          <c:spPr>
            <a:solidFill>
              <a:schemeClr val="accent1">
                <a:shade val="69000"/>
              </a:schemeClr>
            </a:solidFill>
            <a:ln>
              <a:noFill/>
            </a:ln>
            <a:effectLst/>
          </c:spPr>
          <c:invertIfNegative val="0"/>
          <c:cat>
            <c:strRef>
              <c:f>Schedules!$D$41:$D$45</c:f>
              <c:strCache>
                <c:ptCount val="5"/>
                <c:pt idx="0">
                  <c:v>Initial Stage (7 days)</c:v>
                </c:pt>
                <c:pt idx="1">
                  <c:v>Early Stage (7 days)</c:v>
                </c:pt>
                <c:pt idx="2">
                  <c:v>Mid Stage (35 days)</c:v>
                </c:pt>
                <c:pt idx="3">
                  <c:v>Late Stage (14 days)</c:v>
                </c:pt>
                <c:pt idx="4">
                  <c:v>Crop Rotation (4 days)</c:v>
                </c:pt>
              </c:strCache>
            </c:strRef>
          </c:cat>
          <c:val>
            <c:numRef>
              <c:f>Schedules!$K$41:$K$45</c:f>
              <c:numCache>
                <c:formatCode>0.00</c:formatCode>
                <c:ptCount val="5"/>
                <c:pt idx="0">
                  <c:v>0.6</c:v>
                </c:pt>
                <c:pt idx="1">
                  <c:v>0.8</c:v>
                </c:pt>
                <c:pt idx="2">
                  <c:v>1</c:v>
                </c:pt>
                <c:pt idx="3">
                  <c:v>0.8</c:v>
                </c:pt>
                <c:pt idx="4">
                  <c:v>0</c:v>
                </c:pt>
              </c:numCache>
            </c:numRef>
          </c:val>
          <c:extLst>
            <c:ext xmlns:c16="http://schemas.microsoft.com/office/drawing/2014/chart" uri="{C3380CC4-5D6E-409C-BE32-E72D297353CC}">
              <c16:uniqueId val="{00000006-8F89-CE49-B703-21FE2BAF8FC2}"/>
            </c:ext>
          </c:extLst>
        </c:ser>
        <c:ser>
          <c:idx val="7"/>
          <c:order val="7"/>
          <c:spPr>
            <a:solidFill>
              <a:schemeClr val="accent1">
                <a:shade val="74000"/>
              </a:schemeClr>
            </a:solidFill>
            <a:ln>
              <a:noFill/>
            </a:ln>
            <a:effectLst/>
          </c:spPr>
          <c:invertIfNegative val="0"/>
          <c:cat>
            <c:strRef>
              <c:f>Schedules!$D$41:$D$45</c:f>
              <c:strCache>
                <c:ptCount val="5"/>
                <c:pt idx="0">
                  <c:v>Initial Stage (7 days)</c:v>
                </c:pt>
                <c:pt idx="1">
                  <c:v>Early Stage (7 days)</c:v>
                </c:pt>
                <c:pt idx="2">
                  <c:v>Mid Stage (35 days)</c:v>
                </c:pt>
                <c:pt idx="3">
                  <c:v>Late Stage (14 days)</c:v>
                </c:pt>
                <c:pt idx="4">
                  <c:v>Crop Rotation (4 days)</c:v>
                </c:pt>
              </c:strCache>
            </c:strRef>
          </c:cat>
          <c:val>
            <c:numRef>
              <c:f>Schedules!$L$41:$L$45</c:f>
              <c:numCache>
                <c:formatCode>0.00</c:formatCode>
                <c:ptCount val="5"/>
                <c:pt idx="0">
                  <c:v>0.6</c:v>
                </c:pt>
                <c:pt idx="1">
                  <c:v>0.8</c:v>
                </c:pt>
                <c:pt idx="2">
                  <c:v>1</c:v>
                </c:pt>
                <c:pt idx="3">
                  <c:v>0.8</c:v>
                </c:pt>
                <c:pt idx="4">
                  <c:v>0</c:v>
                </c:pt>
              </c:numCache>
            </c:numRef>
          </c:val>
          <c:extLst>
            <c:ext xmlns:c16="http://schemas.microsoft.com/office/drawing/2014/chart" uri="{C3380CC4-5D6E-409C-BE32-E72D297353CC}">
              <c16:uniqueId val="{00000007-8F89-CE49-B703-21FE2BAF8FC2}"/>
            </c:ext>
          </c:extLst>
        </c:ser>
        <c:ser>
          <c:idx val="8"/>
          <c:order val="8"/>
          <c:spPr>
            <a:solidFill>
              <a:schemeClr val="accent1">
                <a:shade val="80000"/>
              </a:schemeClr>
            </a:solidFill>
            <a:ln>
              <a:noFill/>
            </a:ln>
            <a:effectLst/>
          </c:spPr>
          <c:invertIfNegative val="0"/>
          <c:cat>
            <c:strRef>
              <c:f>Schedules!$D$41:$D$45</c:f>
              <c:strCache>
                <c:ptCount val="5"/>
                <c:pt idx="0">
                  <c:v>Initial Stage (7 days)</c:v>
                </c:pt>
                <c:pt idx="1">
                  <c:v>Early Stage (7 days)</c:v>
                </c:pt>
                <c:pt idx="2">
                  <c:v>Mid Stage (35 days)</c:v>
                </c:pt>
                <c:pt idx="3">
                  <c:v>Late Stage (14 days)</c:v>
                </c:pt>
                <c:pt idx="4">
                  <c:v>Crop Rotation (4 days)</c:v>
                </c:pt>
              </c:strCache>
            </c:strRef>
          </c:cat>
          <c:val>
            <c:numRef>
              <c:f>Schedules!$M$41:$M$45</c:f>
              <c:numCache>
                <c:formatCode>0.00</c:formatCode>
                <c:ptCount val="5"/>
                <c:pt idx="0">
                  <c:v>0.6</c:v>
                </c:pt>
                <c:pt idx="1">
                  <c:v>0.8</c:v>
                </c:pt>
                <c:pt idx="2">
                  <c:v>1</c:v>
                </c:pt>
                <c:pt idx="3">
                  <c:v>0.8</c:v>
                </c:pt>
                <c:pt idx="4">
                  <c:v>0</c:v>
                </c:pt>
              </c:numCache>
            </c:numRef>
          </c:val>
          <c:extLst>
            <c:ext xmlns:c16="http://schemas.microsoft.com/office/drawing/2014/chart" uri="{C3380CC4-5D6E-409C-BE32-E72D297353CC}">
              <c16:uniqueId val="{00000008-8F89-CE49-B703-21FE2BAF8FC2}"/>
            </c:ext>
          </c:extLst>
        </c:ser>
        <c:ser>
          <c:idx val="9"/>
          <c:order val="9"/>
          <c:spPr>
            <a:solidFill>
              <a:schemeClr val="accent1">
                <a:shade val="86000"/>
              </a:schemeClr>
            </a:solidFill>
            <a:ln>
              <a:noFill/>
            </a:ln>
            <a:effectLst/>
          </c:spPr>
          <c:invertIfNegative val="0"/>
          <c:cat>
            <c:strRef>
              <c:f>Schedules!$D$41:$D$45</c:f>
              <c:strCache>
                <c:ptCount val="5"/>
                <c:pt idx="0">
                  <c:v>Initial Stage (7 days)</c:v>
                </c:pt>
                <c:pt idx="1">
                  <c:v>Early Stage (7 days)</c:v>
                </c:pt>
                <c:pt idx="2">
                  <c:v>Mid Stage (35 days)</c:v>
                </c:pt>
                <c:pt idx="3">
                  <c:v>Late Stage (14 days)</c:v>
                </c:pt>
                <c:pt idx="4">
                  <c:v>Crop Rotation (4 days)</c:v>
                </c:pt>
              </c:strCache>
            </c:strRef>
          </c:cat>
          <c:val>
            <c:numRef>
              <c:f>Schedules!$N$41:$N$45</c:f>
              <c:numCache>
                <c:formatCode>0.00</c:formatCode>
                <c:ptCount val="5"/>
                <c:pt idx="0">
                  <c:v>0.6</c:v>
                </c:pt>
                <c:pt idx="1">
                  <c:v>0.8</c:v>
                </c:pt>
                <c:pt idx="2">
                  <c:v>1</c:v>
                </c:pt>
                <c:pt idx="3">
                  <c:v>0.8</c:v>
                </c:pt>
                <c:pt idx="4">
                  <c:v>0</c:v>
                </c:pt>
              </c:numCache>
            </c:numRef>
          </c:val>
          <c:extLst>
            <c:ext xmlns:c16="http://schemas.microsoft.com/office/drawing/2014/chart" uri="{C3380CC4-5D6E-409C-BE32-E72D297353CC}">
              <c16:uniqueId val="{00000009-8F89-CE49-B703-21FE2BAF8FC2}"/>
            </c:ext>
          </c:extLst>
        </c:ser>
        <c:ser>
          <c:idx val="10"/>
          <c:order val="10"/>
          <c:spPr>
            <a:solidFill>
              <a:schemeClr val="accent1">
                <a:shade val="91000"/>
              </a:schemeClr>
            </a:solidFill>
            <a:ln>
              <a:noFill/>
            </a:ln>
            <a:effectLst/>
          </c:spPr>
          <c:invertIfNegative val="0"/>
          <c:cat>
            <c:strRef>
              <c:f>Schedules!$D$41:$D$45</c:f>
              <c:strCache>
                <c:ptCount val="5"/>
                <c:pt idx="0">
                  <c:v>Initial Stage (7 days)</c:v>
                </c:pt>
                <c:pt idx="1">
                  <c:v>Early Stage (7 days)</c:v>
                </c:pt>
                <c:pt idx="2">
                  <c:v>Mid Stage (35 days)</c:v>
                </c:pt>
                <c:pt idx="3">
                  <c:v>Late Stage (14 days)</c:v>
                </c:pt>
                <c:pt idx="4">
                  <c:v>Crop Rotation (4 days)</c:v>
                </c:pt>
              </c:strCache>
            </c:strRef>
          </c:cat>
          <c:val>
            <c:numRef>
              <c:f>Schedules!$O$41:$O$45</c:f>
              <c:numCache>
                <c:formatCode>0.00</c:formatCode>
                <c:ptCount val="5"/>
                <c:pt idx="0">
                  <c:v>0.6</c:v>
                </c:pt>
                <c:pt idx="1">
                  <c:v>0.8</c:v>
                </c:pt>
                <c:pt idx="2">
                  <c:v>1</c:v>
                </c:pt>
                <c:pt idx="3">
                  <c:v>0.8</c:v>
                </c:pt>
                <c:pt idx="4">
                  <c:v>0</c:v>
                </c:pt>
              </c:numCache>
            </c:numRef>
          </c:val>
          <c:extLst>
            <c:ext xmlns:c16="http://schemas.microsoft.com/office/drawing/2014/chart" uri="{C3380CC4-5D6E-409C-BE32-E72D297353CC}">
              <c16:uniqueId val="{0000000A-8F89-CE49-B703-21FE2BAF8FC2}"/>
            </c:ext>
          </c:extLst>
        </c:ser>
        <c:ser>
          <c:idx val="11"/>
          <c:order val="11"/>
          <c:spPr>
            <a:solidFill>
              <a:schemeClr val="accent1">
                <a:shade val="97000"/>
              </a:schemeClr>
            </a:solidFill>
            <a:ln>
              <a:noFill/>
            </a:ln>
            <a:effectLst/>
          </c:spPr>
          <c:invertIfNegative val="0"/>
          <c:cat>
            <c:strRef>
              <c:f>Schedules!$D$41:$D$45</c:f>
              <c:strCache>
                <c:ptCount val="5"/>
                <c:pt idx="0">
                  <c:v>Initial Stage (7 days)</c:v>
                </c:pt>
                <c:pt idx="1">
                  <c:v>Early Stage (7 days)</c:v>
                </c:pt>
                <c:pt idx="2">
                  <c:v>Mid Stage (35 days)</c:v>
                </c:pt>
                <c:pt idx="3">
                  <c:v>Late Stage (14 days)</c:v>
                </c:pt>
                <c:pt idx="4">
                  <c:v>Crop Rotation (4 days)</c:v>
                </c:pt>
              </c:strCache>
            </c:strRef>
          </c:cat>
          <c:val>
            <c:numRef>
              <c:f>Schedules!$P$41:$P$45</c:f>
              <c:numCache>
                <c:formatCode>0.00</c:formatCode>
                <c:ptCount val="5"/>
                <c:pt idx="0">
                  <c:v>0.6</c:v>
                </c:pt>
                <c:pt idx="1">
                  <c:v>0.8</c:v>
                </c:pt>
                <c:pt idx="2">
                  <c:v>1</c:v>
                </c:pt>
                <c:pt idx="3">
                  <c:v>0.8</c:v>
                </c:pt>
                <c:pt idx="4">
                  <c:v>0</c:v>
                </c:pt>
              </c:numCache>
            </c:numRef>
          </c:val>
          <c:extLst>
            <c:ext xmlns:c16="http://schemas.microsoft.com/office/drawing/2014/chart" uri="{C3380CC4-5D6E-409C-BE32-E72D297353CC}">
              <c16:uniqueId val="{0000000B-8F89-CE49-B703-21FE2BAF8FC2}"/>
            </c:ext>
          </c:extLst>
        </c:ser>
        <c:ser>
          <c:idx val="12"/>
          <c:order val="12"/>
          <c:spPr>
            <a:solidFill>
              <a:schemeClr val="accent1">
                <a:tint val="98000"/>
              </a:schemeClr>
            </a:solidFill>
            <a:ln>
              <a:noFill/>
            </a:ln>
            <a:effectLst/>
          </c:spPr>
          <c:invertIfNegative val="0"/>
          <c:cat>
            <c:strRef>
              <c:f>Schedules!$D$41:$D$45</c:f>
              <c:strCache>
                <c:ptCount val="5"/>
                <c:pt idx="0">
                  <c:v>Initial Stage (7 days)</c:v>
                </c:pt>
                <c:pt idx="1">
                  <c:v>Early Stage (7 days)</c:v>
                </c:pt>
                <c:pt idx="2">
                  <c:v>Mid Stage (35 days)</c:v>
                </c:pt>
                <c:pt idx="3">
                  <c:v>Late Stage (14 days)</c:v>
                </c:pt>
                <c:pt idx="4">
                  <c:v>Crop Rotation (4 days)</c:v>
                </c:pt>
              </c:strCache>
            </c:strRef>
          </c:cat>
          <c:val>
            <c:numRef>
              <c:f>Schedules!$Q$41:$Q$45</c:f>
              <c:numCache>
                <c:formatCode>0.00</c:formatCode>
                <c:ptCount val="5"/>
                <c:pt idx="0">
                  <c:v>0.6</c:v>
                </c:pt>
                <c:pt idx="1">
                  <c:v>0.8</c:v>
                </c:pt>
                <c:pt idx="2">
                  <c:v>1</c:v>
                </c:pt>
                <c:pt idx="3">
                  <c:v>0.8</c:v>
                </c:pt>
                <c:pt idx="4">
                  <c:v>0</c:v>
                </c:pt>
              </c:numCache>
            </c:numRef>
          </c:val>
          <c:extLst>
            <c:ext xmlns:c16="http://schemas.microsoft.com/office/drawing/2014/chart" uri="{C3380CC4-5D6E-409C-BE32-E72D297353CC}">
              <c16:uniqueId val="{0000000C-8F89-CE49-B703-21FE2BAF8FC2}"/>
            </c:ext>
          </c:extLst>
        </c:ser>
        <c:ser>
          <c:idx val="13"/>
          <c:order val="13"/>
          <c:spPr>
            <a:solidFill>
              <a:schemeClr val="accent1">
                <a:tint val="92000"/>
              </a:schemeClr>
            </a:solidFill>
            <a:ln>
              <a:noFill/>
            </a:ln>
            <a:effectLst/>
          </c:spPr>
          <c:invertIfNegative val="0"/>
          <c:cat>
            <c:strRef>
              <c:f>Schedules!$D$41:$D$45</c:f>
              <c:strCache>
                <c:ptCount val="5"/>
                <c:pt idx="0">
                  <c:v>Initial Stage (7 days)</c:v>
                </c:pt>
                <c:pt idx="1">
                  <c:v>Early Stage (7 days)</c:v>
                </c:pt>
                <c:pt idx="2">
                  <c:v>Mid Stage (35 days)</c:v>
                </c:pt>
                <c:pt idx="3">
                  <c:v>Late Stage (14 days)</c:v>
                </c:pt>
                <c:pt idx="4">
                  <c:v>Crop Rotation (4 days)</c:v>
                </c:pt>
              </c:strCache>
            </c:strRef>
          </c:cat>
          <c:val>
            <c:numRef>
              <c:f>Schedules!$R$41:$R$45</c:f>
              <c:numCache>
                <c:formatCode>0.00</c:formatCode>
                <c:ptCount val="5"/>
                <c:pt idx="0">
                  <c:v>0.6</c:v>
                </c:pt>
                <c:pt idx="1">
                  <c:v>0.8</c:v>
                </c:pt>
                <c:pt idx="2">
                  <c:v>1</c:v>
                </c:pt>
                <c:pt idx="3">
                  <c:v>0.8</c:v>
                </c:pt>
                <c:pt idx="4">
                  <c:v>0</c:v>
                </c:pt>
              </c:numCache>
            </c:numRef>
          </c:val>
          <c:extLst>
            <c:ext xmlns:c16="http://schemas.microsoft.com/office/drawing/2014/chart" uri="{C3380CC4-5D6E-409C-BE32-E72D297353CC}">
              <c16:uniqueId val="{0000000D-8F89-CE49-B703-21FE2BAF8FC2}"/>
            </c:ext>
          </c:extLst>
        </c:ser>
        <c:ser>
          <c:idx val="14"/>
          <c:order val="14"/>
          <c:spPr>
            <a:solidFill>
              <a:schemeClr val="accent1">
                <a:tint val="86000"/>
              </a:schemeClr>
            </a:solidFill>
            <a:ln>
              <a:noFill/>
            </a:ln>
            <a:effectLst/>
          </c:spPr>
          <c:invertIfNegative val="0"/>
          <c:cat>
            <c:strRef>
              <c:f>Schedules!$D$41:$D$45</c:f>
              <c:strCache>
                <c:ptCount val="5"/>
                <c:pt idx="0">
                  <c:v>Initial Stage (7 days)</c:v>
                </c:pt>
                <c:pt idx="1">
                  <c:v>Early Stage (7 days)</c:v>
                </c:pt>
                <c:pt idx="2">
                  <c:v>Mid Stage (35 days)</c:v>
                </c:pt>
                <c:pt idx="3">
                  <c:v>Late Stage (14 days)</c:v>
                </c:pt>
                <c:pt idx="4">
                  <c:v>Crop Rotation (4 days)</c:v>
                </c:pt>
              </c:strCache>
            </c:strRef>
          </c:cat>
          <c:val>
            <c:numRef>
              <c:f>Schedules!$S$41:$S$45</c:f>
              <c:numCache>
                <c:formatCode>0.00</c:formatCode>
                <c:ptCount val="5"/>
                <c:pt idx="0">
                  <c:v>0.6</c:v>
                </c:pt>
                <c:pt idx="1">
                  <c:v>0.8</c:v>
                </c:pt>
                <c:pt idx="2">
                  <c:v>1</c:v>
                </c:pt>
                <c:pt idx="3">
                  <c:v>0.8</c:v>
                </c:pt>
                <c:pt idx="4">
                  <c:v>0</c:v>
                </c:pt>
              </c:numCache>
            </c:numRef>
          </c:val>
          <c:extLst>
            <c:ext xmlns:c16="http://schemas.microsoft.com/office/drawing/2014/chart" uri="{C3380CC4-5D6E-409C-BE32-E72D297353CC}">
              <c16:uniqueId val="{0000000E-8F89-CE49-B703-21FE2BAF8FC2}"/>
            </c:ext>
          </c:extLst>
        </c:ser>
        <c:ser>
          <c:idx val="15"/>
          <c:order val="15"/>
          <c:spPr>
            <a:solidFill>
              <a:schemeClr val="accent1">
                <a:tint val="81000"/>
              </a:schemeClr>
            </a:solidFill>
            <a:ln>
              <a:noFill/>
            </a:ln>
            <a:effectLst/>
          </c:spPr>
          <c:invertIfNegative val="0"/>
          <c:cat>
            <c:strRef>
              <c:f>Schedules!$D$41:$D$45</c:f>
              <c:strCache>
                <c:ptCount val="5"/>
                <c:pt idx="0">
                  <c:v>Initial Stage (7 days)</c:v>
                </c:pt>
                <c:pt idx="1">
                  <c:v>Early Stage (7 days)</c:v>
                </c:pt>
                <c:pt idx="2">
                  <c:v>Mid Stage (35 days)</c:v>
                </c:pt>
                <c:pt idx="3">
                  <c:v>Late Stage (14 days)</c:v>
                </c:pt>
                <c:pt idx="4">
                  <c:v>Crop Rotation (4 days)</c:v>
                </c:pt>
              </c:strCache>
            </c:strRef>
          </c:cat>
          <c:val>
            <c:numRef>
              <c:f>Schedules!$T$41:$T$45</c:f>
              <c:numCache>
                <c:formatCode>0.00</c:formatCode>
                <c:ptCount val="5"/>
                <c:pt idx="0">
                  <c:v>0.6</c:v>
                </c:pt>
                <c:pt idx="1">
                  <c:v>0.8</c:v>
                </c:pt>
                <c:pt idx="2">
                  <c:v>1</c:v>
                </c:pt>
                <c:pt idx="3">
                  <c:v>0.8</c:v>
                </c:pt>
                <c:pt idx="4">
                  <c:v>0</c:v>
                </c:pt>
              </c:numCache>
            </c:numRef>
          </c:val>
          <c:extLst>
            <c:ext xmlns:c16="http://schemas.microsoft.com/office/drawing/2014/chart" uri="{C3380CC4-5D6E-409C-BE32-E72D297353CC}">
              <c16:uniqueId val="{0000000F-8F89-CE49-B703-21FE2BAF8FC2}"/>
            </c:ext>
          </c:extLst>
        </c:ser>
        <c:ser>
          <c:idx val="16"/>
          <c:order val="16"/>
          <c:spPr>
            <a:solidFill>
              <a:schemeClr val="accent1">
                <a:tint val="75000"/>
              </a:schemeClr>
            </a:solidFill>
            <a:ln>
              <a:noFill/>
            </a:ln>
            <a:effectLst/>
          </c:spPr>
          <c:invertIfNegative val="0"/>
          <c:cat>
            <c:strRef>
              <c:f>Schedules!$D$41:$D$45</c:f>
              <c:strCache>
                <c:ptCount val="5"/>
                <c:pt idx="0">
                  <c:v>Initial Stage (7 days)</c:v>
                </c:pt>
                <c:pt idx="1">
                  <c:v>Early Stage (7 days)</c:v>
                </c:pt>
                <c:pt idx="2">
                  <c:v>Mid Stage (35 days)</c:v>
                </c:pt>
                <c:pt idx="3">
                  <c:v>Late Stage (14 days)</c:v>
                </c:pt>
                <c:pt idx="4">
                  <c:v>Crop Rotation (4 days)</c:v>
                </c:pt>
              </c:strCache>
            </c:strRef>
          </c:cat>
          <c:val>
            <c:numRef>
              <c:f>Schedules!$U$41:$U$45</c:f>
              <c:numCache>
                <c:formatCode>0.00</c:formatCode>
                <c:ptCount val="5"/>
                <c:pt idx="0">
                  <c:v>0.6</c:v>
                </c:pt>
                <c:pt idx="1">
                  <c:v>0.8</c:v>
                </c:pt>
                <c:pt idx="2">
                  <c:v>1</c:v>
                </c:pt>
                <c:pt idx="3">
                  <c:v>0.8</c:v>
                </c:pt>
                <c:pt idx="4">
                  <c:v>0</c:v>
                </c:pt>
              </c:numCache>
            </c:numRef>
          </c:val>
          <c:extLst>
            <c:ext xmlns:c16="http://schemas.microsoft.com/office/drawing/2014/chart" uri="{C3380CC4-5D6E-409C-BE32-E72D297353CC}">
              <c16:uniqueId val="{00000010-8F89-CE49-B703-21FE2BAF8FC2}"/>
            </c:ext>
          </c:extLst>
        </c:ser>
        <c:ser>
          <c:idx val="17"/>
          <c:order val="17"/>
          <c:spPr>
            <a:solidFill>
              <a:schemeClr val="accent1">
                <a:tint val="70000"/>
              </a:schemeClr>
            </a:solidFill>
            <a:ln>
              <a:noFill/>
            </a:ln>
            <a:effectLst/>
          </c:spPr>
          <c:invertIfNegative val="0"/>
          <c:cat>
            <c:strRef>
              <c:f>Schedules!$D$41:$D$45</c:f>
              <c:strCache>
                <c:ptCount val="5"/>
                <c:pt idx="0">
                  <c:v>Initial Stage (7 days)</c:v>
                </c:pt>
                <c:pt idx="1">
                  <c:v>Early Stage (7 days)</c:v>
                </c:pt>
                <c:pt idx="2">
                  <c:v>Mid Stage (35 days)</c:v>
                </c:pt>
                <c:pt idx="3">
                  <c:v>Late Stage (14 days)</c:v>
                </c:pt>
                <c:pt idx="4">
                  <c:v>Crop Rotation (4 days)</c:v>
                </c:pt>
              </c:strCache>
            </c:strRef>
          </c:cat>
          <c:val>
            <c:numRef>
              <c:f>Schedules!$V$41:$V$45</c:f>
              <c:numCache>
                <c:formatCode>0.00</c:formatCode>
                <c:ptCount val="5"/>
                <c:pt idx="0">
                  <c:v>0.6</c:v>
                </c:pt>
                <c:pt idx="1">
                  <c:v>0.8</c:v>
                </c:pt>
                <c:pt idx="2">
                  <c:v>1</c:v>
                </c:pt>
                <c:pt idx="3">
                  <c:v>0.8</c:v>
                </c:pt>
                <c:pt idx="4">
                  <c:v>0</c:v>
                </c:pt>
              </c:numCache>
            </c:numRef>
          </c:val>
          <c:extLst>
            <c:ext xmlns:c16="http://schemas.microsoft.com/office/drawing/2014/chart" uri="{C3380CC4-5D6E-409C-BE32-E72D297353CC}">
              <c16:uniqueId val="{00000011-8F89-CE49-B703-21FE2BAF8FC2}"/>
            </c:ext>
          </c:extLst>
        </c:ser>
        <c:ser>
          <c:idx val="18"/>
          <c:order val="18"/>
          <c:spPr>
            <a:solidFill>
              <a:schemeClr val="accent1">
                <a:tint val="64000"/>
              </a:schemeClr>
            </a:solidFill>
            <a:ln>
              <a:noFill/>
            </a:ln>
            <a:effectLst/>
          </c:spPr>
          <c:invertIfNegative val="0"/>
          <c:cat>
            <c:strRef>
              <c:f>Schedules!$D$41:$D$45</c:f>
              <c:strCache>
                <c:ptCount val="5"/>
                <c:pt idx="0">
                  <c:v>Initial Stage (7 days)</c:v>
                </c:pt>
                <c:pt idx="1">
                  <c:v>Early Stage (7 days)</c:v>
                </c:pt>
                <c:pt idx="2">
                  <c:v>Mid Stage (35 days)</c:v>
                </c:pt>
                <c:pt idx="3">
                  <c:v>Late Stage (14 days)</c:v>
                </c:pt>
                <c:pt idx="4">
                  <c:v>Crop Rotation (4 days)</c:v>
                </c:pt>
              </c:strCache>
            </c:strRef>
          </c:cat>
          <c:val>
            <c:numRef>
              <c:f>Schedules!$W$41:$W$45</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12-8F89-CE49-B703-21FE2BAF8FC2}"/>
            </c:ext>
          </c:extLst>
        </c:ser>
        <c:ser>
          <c:idx val="19"/>
          <c:order val="19"/>
          <c:spPr>
            <a:solidFill>
              <a:schemeClr val="accent1">
                <a:tint val="58000"/>
              </a:schemeClr>
            </a:solidFill>
            <a:ln>
              <a:noFill/>
            </a:ln>
            <a:effectLst/>
          </c:spPr>
          <c:invertIfNegative val="0"/>
          <c:cat>
            <c:strRef>
              <c:f>Schedules!$D$41:$D$45</c:f>
              <c:strCache>
                <c:ptCount val="5"/>
                <c:pt idx="0">
                  <c:v>Initial Stage (7 days)</c:v>
                </c:pt>
                <c:pt idx="1">
                  <c:v>Early Stage (7 days)</c:v>
                </c:pt>
                <c:pt idx="2">
                  <c:v>Mid Stage (35 days)</c:v>
                </c:pt>
                <c:pt idx="3">
                  <c:v>Late Stage (14 days)</c:v>
                </c:pt>
                <c:pt idx="4">
                  <c:v>Crop Rotation (4 days)</c:v>
                </c:pt>
              </c:strCache>
            </c:strRef>
          </c:cat>
          <c:val>
            <c:numRef>
              <c:f>Schedules!$X$41:$X$45</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13-8F89-CE49-B703-21FE2BAF8FC2}"/>
            </c:ext>
          </c:extLst>
        </c:ser>
        <c:ser>
          <c:idx val="20"/>
          <c:order val="20"/>
          <c:spPr>
            <a:solidFill>
              <a:schemeClr val="accent1">
                <a:tint val="53000"/>
              </a:schemeClr>
            </a:solidFill>
            <a:ln>
              <a:noFill/>
            </a:ln>
            <a:effectLst/>
          </c:spPr>
          <c:invertIfNegative val="0"/>
          <c:cat>
            <c:strRef>
              <c:f>Schedules!$D$41:$D$45</c:f>
              <c:strCache>
                <c:ptCount val="5"/>
                <c:pt idx="0">
                  <c:v>Initial Stage (7 days)</c:v>
                </c:pt>
                <c:pt idx="1">
                  <c:v>Early Stage (7 days)</c:v>
                </c:pt>
                <c:pt idx="2">
                  <c:v>Mid Stage (35 days)</c:v>
                </c:pt>
                <c:pt idx="3">
                  <c:v>Late Stage (14 days)</c:v>
                </c:pt>
                <c:pt idx="4">
                  <c:v>Crop Rotation (4 days)</c:v>
                </c:pt>
              </c:strCache>
            </c:strRef>
          </c:cat>
          <c:val>
            <c:numRef>
              <c:f>Schedules!$Y$41:$Y$45</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14-8F89-CE49-B703-21FE2BAF8FC2}"/>
            </c:ext>
          </c:extLst>
        </c:ser>
        <c:ser>
          <c:idx val="21"/>
          <c:order val="21"/>
          <c:spPr>
            <a:solidFill>
              <a:schemeClr val="accent1">
                <a:tint val="47000"/>
              </a:schemeClr>
            </a:solidFill>
            <a:ln>
              <a:noFill/>
            </a:ln>
            <a:effectLst/>
          </c:spPr>
          <c:invertIfNegative val="0"/>
          <c:cat>
            <c:strRef>
              <c:f>Schedules!$D$41:$D$45</c:f>
              <c:strCache>
                <c:ptCount val="5"/>
                <c:pt idx="0">
                  <c:v>Initial Stage (7 days)</c:v>
                </c:pt>
                <c:pt idx="1">
                  <c:v>Early Stage (7 days)</c:v>
                </c:pt>
                <c:pt idx="2">
                  <c:v>Mid Stage (35 days)</c:v>
                </c:pt>
                <c:pt idx="3">
                  <c:v>Late Stage (14 days)</c:v>
                </c:pt>
                <c:pt idx="4">
                  <c:v>Crop Rotation (4 days)</c:v>
                </c:pt>
              </c:strCache>
            </c:strRef>
          </c:cat>
          <c:val>
            <c:numRef>
              <c:f>Schedules!$Z$41:$Z$45</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15-8F89-CE49-B703-21FE2BAF8FC2}"/>
            </c:ext>
          </c:extLst>
        </c:ser>
        <c:ser>
          <c:idx val="22"/>
          <c:order val="22"/>
          <c:spPr>
            <a:solidFill>
              <a:schemeClr val="accent1">
                <a:tint val="42000"/>
              </a:schemeClr>
            </a:solidFill>
            <a:ln>
              <a:noFill/>
            </a:ln>
            <a:effectLst/>
          </c:spPr>
          <c:invertIfNegative val="0"/>
          <c:cat>
            <c:strRef>
              <c:f>Schedules!$D$41:$D$45</c:f>
              <c:strCache>
                <c:ptCount val="5"/>
                <c:pt idx="0">
                  <c:v>Initial Stage (7 days)</c:v>
                </c:pt>
                <c:pt idx="1">
                  <c:v>Early Stage (7 days)</c:v>
                </c:pt>
                <c:pt idx="2">
                  <c:v>Mid Stage (35 days)</c:v>
                </c:pt>
                <c:pt idx="3">
                  <c:v>Late Stage (14 days)</c:v>
                </c:pt>
                <c:pt idx="4">
                  <c:v>Crop Rotation (4 days)</c:v>
                </c:pt>
              </c:strCache>
            </c:strRef>
          </c:cat>
          <c:val>
            <c:numRef>
              <c:f>Schedules!$AA$41:$AA$45</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16-8F89-CE49-B703-21FE2BAF8FC2}"/>
            </c:ext>
          </c:extLst>
        </c:ser>
        <c:ser>
          <c:idx val="23"/>
          <c:order val="23"/>
          <c:spPr>
            <a:solidFill>
              <a:schemeClr val="accent1">
                <a:tint val="36000"/>
              </a:schemeClr>
            </a:solidFill>
            <a:ln>
              <a:noFill/>
            </a:ln>
            <a:effectLst/>
          </c:spPr>
          <c:invertIfNegative val="0"/>
          <c:cat>
            <c:strRef>
              <c:f>Schedules!$D$41:$D$45</c:f>
              <c:strCache>
                <c:ptCount val="5"/>
                <c:pt idx="0">
                  <c:v>Initial Stage (7 days)</c:v>
                </c:pt>
                <c:pt idx="1">
                  <c:v>Early Stage (7 days)</c:v>
                </c:pt>
                <c:pt idx="2">
                  <c:v>Mid Stage (35 days)</c:v>
                </c:pt>
                <c:pt idx="3">
                  <c:v>Late Stage (14 days)</c:v>
                </c:pt>
                <c:pt idx="4">
                  <c:v>Crop Rotation (4 days)</c:v>
                </c:pt>
              </c:strCache>
            </c:strRef>
          </c:cat>
          <c:val>
            <c:numRef>
              <c:f>Schedules!$AB$41:$AB$45</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17-8F89-CE49-B703-21FE2BAF8FC2}"/>
            </c:ext>
          </c:extLst>
        </c:ser>
        <c:dLbls>
          <c:showLegendKey val="0"/>
          <c:showVal val="0"/>
          <c:showCatName val="0"/>
          <c:showSerName val="0"/>
          <c:showPercent val="0"/>
          <c:showBubbleSize val="0"/>
        </c:dLbls>
        <c:gapWidth val="150"/>
        <c:axId val="2054854960"/>
        <c:axId val="2054840560"/>
      </c:barChart>
      <c:catAx>
        <c:axId val="2054854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Hour of Day</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4840560"/>
        <c:crosses val="autoZero"/>
        <c:auto val="1"/>
        <c:lblAlgn val="ctr"/>
        <c:lblOffset val="100"/>
        <c:noMultiLvlLbl val="0"/>
      </c:catAx>
      <c:valAx>
        <c:axId val="20548405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Flowering CEH Lighting - Dimming schedule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4854960"/>
        <c:crosses val="autoZero"/>
        <c:crossBetween val="between"/>
      </c:valAx>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Schedules!$A$28</c:f>
          <c:strCache>
            <c:ptCount val="1"/>
            <c:pt idx="0">
              <c:v>Horticulture Drying Area  Lighting</c:v>
            </c:pt>
          </c:strCache>
        </c:strRef>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301696646995022"/>
          <c:y val="0.21667624165005125"/>
          <c:w val="0.86296940073898609"/>
          <c:h val="0.51057641399975218"/>
        </c:manualLayout>
      </c:layout>
      <c:lineChart>
        <c:grouping val="standard"/>
        <c:varyColors val="0"/>
        <c:ser>
          <c:idx val="0"/>
          <c:order val="0"/>
          <c:tx>
            <c:strRef>
              <c:f>Schedules!$D$28</c:f>
              <c:strCache>
                <c:ptCount val="1"/>
                <c:pt idx="0">
                  <c:v>Weekday</c:v>
                </c:pt>
              </c:strCache>
            </c:strRef>
          </c:tx>
          <c:spPr>
            <a:ln w="28575" cap="rnd">
              <a:solidFill>
                <a:schemeClr val="accent1"/>
              </a:solidFill>
              <a:round/>
            </a:ln>
            <a:effectLst/>
          </c:spPr>
          <c:marker>
            <c:symbol val="none"/>
          </c:marker>
          <c:val>
            <c:numRef>
              <c:f>Schedules!$E$28:$AB$28</c:f>
              <c:numCache>
                <c:formatCode>0.00</c:formatCode>
                <c:ptCount val="24"/>
                <c:pt idx="0">
                  <c:v>0.05</c:v>
                </c:pt>
                <c:pt idx="1">
                  <c:v>0.05</c:v>
                </c:pt>
                <c:pt idx="2">
                  <c:v>0.05</c:v>
                </c:pt>
                <c:pt idx="3">
                  <c:v>0.05</c:v>
                </c:pt>
                <c:pt idx="4">
                  <c:v>0.05</c:v>
                </c:pt>
                <c:pt idx="5">
                  <c:v>0.05</c:v>
                </c:pt>
                <c:pt idx="6">
                  <c:v>0.05</c:v>
                </c:pt>
                <c:pt idx="7">
                  <c:v>0.25</c:v>
                </c:pt>
                <c:pt idx="8">
                  <c:v>0.45</c:v>
                </c:pt>
                <c:pt idx="9">
                  <c:v>0.55000000000000004</c:v>
                </c:pt>
                <c:pt idx="10">
                  <c:v>0.55000000000000004</c:v>
                </c:pt>
                <c:pt idx="11">
                  <c:v>0.55000000000000004</c:v>
                </c:pt>
                <c:pt idx="12">
                  <c:v>0.55000000000000004</c:v>
                </c:pt>
                <c:pt idx="13">
                  <c:v>0.55000000000000004</c:v>
                </c:pt>
                <c:pt idx="14">
                  <c:v>0.55000000000000004</c:v>
                </c:pt>
                <c:pt idx="15">
                  <c:v>0.55000000000000004</c:v>
                </c:pt>
                <c:pt idx="16">
                  <c:v>0.55000000000000004</c:v>
                </c:pt>
                <c:pt idx="17">
                  <c:v>0.3</c:v>
                </c:pt>
                <c:pt idx="18">
                  <c:v>0.05</c:v>
                </c:pt>
                <c:pt idx="19">
                  <c:v>0.05</c:v>
                </c:pt>
                <c:pt idx="20">
                  <c:v>0.05</c:v>
                </c:pt>
                <c:pt idx="21">
                  <c:v>0.05</c:v>
                </c:pt>
                <c:pt idx="22">
                  <c:v>0.05</c:v>
                </c:pt>
                <c:pt idx="23">
                  <c:v>0.05</c:v>
                </c:pt>
              </c:numCache>
            </c:numRef>
          </c:val>
          <c:smooth val="0"/>
          <c:extLst>
            <c:ext xmlns:c16="http://schemas.microsoft.com/office/drawing/2014/chart" uri="{C3380CC4-5D6E-409C-BE32-E72D297353CC}">
              <c16:uniqueId val="{00000000-F64F-744D-BC2A-37560AB2A216}"/>
            </c:ext>
          </c:extLst>
        </c:ser>
        <c:ser>
          <c:idx val="1"/>
          <c:order val="1"/>
          <c:tx>
            <c:strRef>
              <c:f>Schedules!$D$29</c:f>
              <c:strCache>
                <c:ptCount val="1"/>
                <c:pt idx="0">
                  <c:v>Saturday</c:v>
                </c:pt>
              </c:strCache>
            </c:strRef>
          </c:tx>
          <c:spPr>
            <a:ln w="28575" cap="rnd">
              <a:solidFill>
                <a:schemeClr val="accent2"/>
              </a:solidFill>
              <a:round/>
            </a:ln>
            <a:effectLst/>
          </c:spPr>
          <c:marker>
            <c:symbol val="none"/>
          </c:marker>
          <c:val>
            <c:numRef>
              <c:f>Schedules!$E$29:$AB$29</c:f>
              <c:numCache>
                <c:formatCode>0.00</c:formatCode>
                <c:ptCount val="24"/>
                <c:pt idx="0">
                  <c:v>0.05</c:v>
                </c:pt>
                <c:pt idx="1">
                  <c:v>0.05</c:v>
                </c:pt>
                <c:pt idx="2">
                  <c:v>0.05</c:v>
                </c:pt>
                <c:pt idx="3">
                  <c:v>0.05</c:v>
                </c:pt>
                <c:pt idx="4">
                  <c:v>0.05</c:v>
                </c:pt>
                <c:pt idx="5">
                  <c:v>0.05</c:v>
                </c:pt>
                <c:pt idx="6">
                  <c:v>0.05</c:v>
                </c:pt>
                <c:pt idx="7">
                  <c:v>0.05</c:v>
                </c:pt>
                <c:pt idx="8">
                  <c:v>0.08</c:v>
                </c:pt>
                <c:pt idx="9">
                  <c:v>0.24</c:v>
                </c:pt>
                <c:pt idx="10">
                  <c:v>0.24</c:v>
                </c:pt>
                <c:pt idx="11">
                  <c:v>0.24</c:v>
                </c:pt>
                <c:pt idx="12">
                  <c:v>0.05</c:v>
                </c:pt>
                <c:pt idx="13">
                  <c:v>0.05</c:v>
                </c:pt>
                <c:pt idx="14">
                  <c:v>0.05</c:v>
                </c:pt>
                <c:pt idx="15">
                  <c:v>0.05</c:v>
                </c:pt>
                <c:pt idx="16">
                  <c:v>0.05</c:v>
                </c:pt>
                <c:pt idx="17">
                  <c:v>0.05</c:v>
                </c:pt>
                <c:pt idx="18">
                  <c:v>0.05</c:v>
                </c:pt>
                <c:pt idx="19">
                  <c:v>0.05</c:v>
                </c:pt>
                <c:pt idx="20">
                  <c:v>0.05</c:v>
                </c:pt>
                <c:pt idx="21">
                  <c:v>0.05</c:v>
                </c:pt>
                <c:pt idx="22">
                  <c:v>0.05</c:v>
                </c:pt>
                <c:pt idx="23">
                  <c:v>0.05</c:v>
                </c:pt>
              </c:numCache>
            </c:numRef>
          </c:val>
          <c:smooth val="0"/>
          <c:extLst>
            <c:ext xmlns:c16="http://schemas.microsoft.com/office/drawing/2014/chart" uri="{C3380CC4-5D6E-409C-BE32-E72D297353CC}">
              <c16:uniqueId val="{00000001-F64F-744D-BC2A-37560AB2A216}"/>
            </c:ext>
          </c:extLst>
        </c:ser>
        <c:ser>
          <c:idx val="2"/>
          <c:order val="2"/>
          <c:tx>
            <c:strRef>
              <c:f>Schedules!$D$30</c:f>
              <c:strCache>
                <c:ptCount val="1"/>
                <c:pt idx="0">
                  <c:v>Sunday</c:v>
                </c:pt>
              </c:strCache>
            </c:strRef>
          </c:tx>
          <c:spPr>
            <a:ln w="28575" cap="rnd">
              <a:solidFill>
                <a:schemeClr val="accent3"/>
              </a:solidFill>
              <a:round/>
            </a:ln>
            <a:effectLst/>
          </c:spPr>
          <c:marker>
            <c:symbol val="none"/>
          </c:marker>
          <c:val>
            <c:numRef>
              <c:f>Schedules!$E$30:$AB$30</c:f>
              <c:numCache>
                <c:formatCode>0.00</c:formatCode>
                <c:ptCount val="24"/>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numCache>
            </c:numRef>
          </c:val>
          <c:smooth val="0"/>
          <c:extLst>
            <c:ext xmlns:c16="http://schemas.microsoft.com/office/drawing/2014/chart" uri="{C3380CC4-5D6E-409C-BE32-E72D297353CC}">
              <c16:uniqueId val="{00000002-F64F-744D-BC2A-37560AB2A216}"/>
            </c:ext>
          </c:extLst>
        </c:ser>
        <c:dLbls>
          <c:showLegendKey val="0"/>
          <c:showVal val="0"/>
          <c:showCatName val="0"/>
          <c:showSerName val="0"/>
          <c:showPercent val="0"/>
          <c:showBubbleSize val="0"/>
        </c:dLbls>
        <c:smooth val="0"/>
        <c:axId val="1801622976"/>
        <c:axId val="1801623456"/>
      </c:lineChart>
      <c:catAx>
        <c:axId val="1801622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1623456"/>
        <c:crosses val="autoZero"/>
        <c:auto val="1"/>
        <c:lblAlgn val="ctr"/>
        <c:lblOffset val="100"/>
        <c:noMultiLvlLbl val="0"/>
      </c:catAx>
      <c:valAx>
        <c:axId val="180162345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1622976"/>
        <c:crosses val="autoZero"/>
        <c:crossBetween val="between"/>
        <c:majorUnit val="0.2"/>
        <c:minorUnit val="0.1"/>
      </c:valAx>
      <c:spPr>
        <a:noFill/>
        <a:ln>
          <a:noFill/>
        </a:ln>
        <a:effectLst/>
      </c:spPr>
    </c:plotArea>
    <c:legend>
      <c:legendPos val="b"/>
      <c:layout>
        <c:manualLayout>
          <c:xMode val="edge"/>
          <c:yMode val="edge"/>
          <c:x val="0.69237621385546944"/>
          <c:y val="3.6261079321075841E-2"/>
          <c:w val="0.28941482691935089"/>
          <c:h val="0.313989478160883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Schedules!$A$25</c:f>
          <c:strCache>
            <c:ptCount val="1"/>
            <c:pt idx="0">
              <c:v>Horticulture Drying Area Occupancy</c:v>
            </c:pt>
          </c:strCache>
        </c:strRef>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301696646995022"/>
          <c:y val="0.21667624165005125"/>
          <c:w val="0.86296940073898609"/>
          <c:h val="0.51057641399975218"/>
        </c:manualLayout>
      </c:layout>
      <c:lineChart>
        <c:grouping val="standard"/>
        <c:varyColors val="0"/>
        <c:ser>
          <c:idx val="0"/>
          <c:order val="0"/>
          <c:tx>
            <c:strRef>
              <c:f>Schedules!$D$25</c:f>
              <c:strCache>
                <c:ptCount val="1"/>
                <c:pt idx="0">
                  <c:v>Weekday</c:v>
                </c:pt>
              </c:strCache>
            </c:strRef>
          </c:tx>
          <c:spPr>
            <a:ln w="28575" cap="rnd">
              <a:solidFill>
                <a:schemeClr val="accent1"/>
              </a:solidFill>
              <a:round/>
            </a:ln>
            <a:effectLst/>
          </c:spPr>
          <c:marker>
            <c:symbol val="none"/>
          </c:marker>
          <c:val>
            <c:numRef>
              <c:f>Schedules!$E$25:$AB$25</c:f>
              <c:numCache>
                <c:formatCode>0.00</c:formatCode>
                <c:ptCount val="24"/>
                <c:pt idx="0">
                  <c:v>0</c:v>
                </c:pt>
                <c:pt idx="1">
                  <c:v>0</c:v>
                </c:pt>
                <c:pt idx="2">
                  <c:v>0</c:v>
                </c:pt>
                <c:pt idx="3">
                  <c:v>0</c:v>
                </c:pt>
                <c:pt idx="4">
                  <c:v>0</c:v>
                </c:pt>
                <c:pt idx="5">
                  <c:v>0</c:v>
                </c:pt>
                <c:pt idx="6">
                  <c:v>0</c:v>
                </c:pt>
                <c:pt idx="7">
                  <c:v>0.15</c:v>
                </c:pt>
                <c:pt idx="8">
                  <c:v>0.7</c:v>
                </c:pt>
                <c:pt idx="9">
                  <c:v>0.9</c:v>
                </c:pt>
                <c:pt idx="10">
                  <c:v>0.9</c:v>
                </c:pt>
                <c:pt idx="11">
                  <c:v>0.9</c:v>
                </c:pt>
                <c:pt idx="12">
                  <c:v>0.5</c:v>
                </c:pt>
                <c:pt idx="13">
                  <c:v>0.85</c:v>
                </c:pt>
                <c:pt idx="14">
                  <c:v>0.85</c:v>
                </c:pt>
                <c:pt idx="15">
                  <c:v>0.85</c:v>
                </c:pt>
                <c:pt idx="16">
                  <c:v>0.2</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0-A5C7-E840-8B37-91E8F8C9239C}"/>
            </c:ext>
          </c:extLst>
        </c:ser>
        <c:ser>
          <c:idx val="1"/>
          <c:order val="1"/>
          <c:tx>
            <c:strRef>
              <c:f>Schedules!$D$26</c:f>
              <c:strCache>
                <c:ptCount val="1"/>
                <c:pt idx="0">
                  <c:v>Saturday</c:v>
                </c:pt>
              </c:strCache>
            </c:strRef>
          </c:tx>
          <c:spPr>
            <a:ln w="28575" cap="rnd">
              <a:solidFill>
                <a:schemeClr val="accent2"/>
              </a:solidFill>
              <a:round/>
            </a:ln>
            <a:effectLst/>
          </c:spPr>
          <c:marker>
            <c:symbol val="none"/>
          </c:marker>
          <c:val>
            <c:numRef>
              <c:f>Schedules!$E$26:$AB$26</c:f>
              <c:numCache>
                <c:formatCode>0.00</c:formatCode>
                <c:ptCount val="24"/>
                <c:pt idx="0">
                  <c:v>0</c:v>
                </c:pt>
                <c:pt idx="1">
                  <c:v>0</c:v>
                </c:pt>
                <c:pt idx="2">
                  <c:v>0</c:v>
                </c:pt>
                <c:pt idx="3">
                  <c:v>0</c:v>
                </c:pt>
                <c:pt idx="4">
                  <c:v>0</c:v>
                </c:pt>
                <c:pt idx="5">
                  <c:v>0</c:v>
                </c:pt>
                <c:pt idx="6">
                  <c:v>0</c:v>
                </c:pt>
                <c:pt idx="7">
                  <c:v>0</c:v>
                </c:pt>
                <c:pt idx="8">
                  <c:v>0.2</c:v>
                </c:pt>
                <c:pt idx="9">
                  <c:v>0.2</c:v>
                </c:pt>
                <c:pt idx="10">
                  <c:v>0.2</c:v>
                </c:pt>
                <c:pt idx="11">
                  <c:v>0.2</c:v>
                </c:pt>
                <c:pt idx="12">
                  <c:v>0.1</c:v>
                </c:pt>
                <c:pt idx="13">
                  <c:v>0.1</c:v>
                </c:pt>
                <c:pt idx="14">
                  <c:v>0.1</c:v>
                </c:pt>
                <c:pt idx="15">
                  <c:v>0.1</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A5C7-E840-8B37-91E8F8C9239C}"/>
            </c:ext>
          </c:extLst>
        </c:ser>
        <c:ser>
          <c:idx val="2"/>
          <c:order val="2"/>
          <c:tx>
            <c:strRef>
              <c:f>Schedules!$D$27</c:f>
              <c:strCache>
                <c:ptCount val="1"/>
                <c:pt idx="0">
                  <c:v>Sunday</c:v>
                </c:pt>
              </c:strCache>
            </c:strRef>
          </c:tx>
          <c:spPr>
            <a:ln w="28575" cap="rnd">
              <a:solidFill>
                <a:schemeClr val="accent3"/>
              </a:solidFill>
              <a:round/>
            </a:ln>
            <a:effectLst/>
          </c:spPr>
          <c:marker>
            <c:symbol val="none"/>
          </c:marker>
          <c:val>
            <c:numRef>
              <c:f>Schedules!$E$27:$AB$27</c:f>
              <c:numCache>
                <c:formatCode>0.00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2-A5C7-E840-8B37-91E8F8C9239C}"/>
            </c:ext>
          </c:extLst>
        </c:ser>
        <c:dLbls>
          <c:showLegendKey val="0"/>
          <c:showVal val="0"/>
          <c:showCatName val="0"/>
          <c:showSerName val="0"/>
          <c:showPercent val="0"/>
          <c:showBubbleSize val="0"/>
        </c:dLbls>
        <c:smooth val="0"/>
        <c:axId val="1801622976"/>
        <c:axId val="1801623456"/>
      </c:lineChart>
      <c:catAx>
        <c:axId val="1801622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1623456"/>
        <c:crosses val="autoZero"/>
        <c:auto val="1"/>
        <c:lblAlgn val="ctr"/>
        <c:lblOffset val="100"/>
        <c:noMultiLvlLbl val="0"/>
      </c:catAx>
      <c:valAx>
        <c:axId val="180162345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1622976"/>
        <c:crosses val="autoZero"/>
        <c:crossBetween val="between"/>
        <c:majorUnit val="0.2"/>
        <c:minorUnit val="0.1"/>
      </c:valAx>
      <c:spPr>
        <a:noFill/>
        <a:ln>
          <a:noFill/>
        </a:ln>
        <a:effectLst/>
      </c:spPr>
    </c:plotArea>
    <c:legend>
      <c:legendPos val="b"/>
      <c:layout>
        <c:manualLayout>
          <c:xMode val="edge"/>
          <c:yMode val="edge"/>
          <c:x val="0.69237621385546944"/>
          <c:y val="3.6261079321075841E-2"/>
          <c:w val="0.28941482691935089"/>
          <c:h val="0.313989478160883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000" b="1" i="0" u="none" strike="noStrike" kern="1200" spc="0" baseline="0">
                <a:solidFill>
                  <a:sysClr val="windowText" lastClr="000000"/>
                </a:solidFill>
                <a:latin typeface="Arial" panose="020B0604020202020204" pitchFamily="34" charset="0"/>
                <a:cs typeface="Arial" panose="020B0604020202020204" pitchFamily="34" charset="0"/>
              </a:rPr>
              <a:t>Assembly Elevator</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301696646995022"/>
          <c:y val="0.21667624165005125"/>
          <c:w val="0.86296940073898609"/>
          <c:h val="0.51057641399975218"/>
        </c:manualLayout>
      </c:layout>
      <c:lineChart>
        <c:grouping val="standard"/>
        <c:varyColors val="0"/>
        <c:ser>
          <c:idx val="0"/>
          <c:order val="0"/>
          <c:spPr>
            <a:ln w="28575" cap="rnd">
              <a:solidFill>
                <a:schemeClr val="accent1"/>
              </a:solidFill>
              <a:round/>
            </a:ln>
            <a:effectLst/>
          </c:spPr>
          <c:marker>
            <c:symbol val="none"/>
          </c:marker>
          <c:val>
            <c:numRef>
              <c:f>Schedules!#REF!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Schedules!#REF!</c15:sqref>
                        </c15:formulaRef>
                      </c:ext>
                    </c:extLst>
                    <c:strCache>
                      <c:ptCount val="1"/>
                      <c:pt idx="0">
                        <c:v>#REF!</c:v>
                      </c:pt>
                    </c:strCache>
                  </c:strRef>
                </c15:tx>
              </c15:filteredSeriesTitle>
            </c:ext>
            <c:ext xmlns:c16="http://schemas.microsoft.com/office/drawing/2014/chart" uri="{C3380CC4-5D6E-409C-BE32-E72D297353CC}">
              <c16:uniqueId val="{00000000-EDAA-0F4D-9F74-8DC55BB53FD9}"/>
            </c:ext>
          </c:extLst>
        </c:ser>
        <c:ser>
          <c:idx val="1"/>
          <c:order val="1"/>
          <c:spPr>
            <a:ln w="28575" cap="rnd">
              <a:solidFill>
                <a:schemeClr val="accent2"/>
              </a:solidFill>
              <a:round/>
            </a:ln>
            <a:effectLst/>
          </c:spPr>
          <c:marker>
            <c:symbol val="none"/>
          </c:marker>
          <c:val>
            <c:numRef>
              <c:f>Schedules!#REF!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Schedules!#REF!</c15:sqref>
                        </c15:formulaRef>
                      </c:ext>
                    </c:extLst>
                    <c:strCache>
                      <c:ptCount val="1"/>
                      <c:pt idx="0">
                        <c:v>#REF!</c:v>
                      </c:pt>
                    </c:strCache>
                  </c:strRef>
                </c15:tx>
              </c15:filteredSeriesTitle>
            </c:ext>
            <c:ext xmlns:c16="http://schemas.microsoft.com/office/drawing/2014/chart" uri="{C3380CC4-5D6E-409C-BE32-E72D297353CC}">
              <c16:uniqueId val="{00000001-EDAA-0F4D-9F74-8DC55BB53FD9}"/>
            </c:ext>
          </c:extLst>
        </c:ser>
        <c:ser>
          <c:idx val="2"/>
          <c:order val="2"/>
          <c:spPr>
            <a:ln w="28575" cap="rnd">
              <a:solidFill>
                <a:schemeClr val="accent3"/>
              </a:solidFill>
              <a:round/>
            </a:ln>
            <a:effectLst/>
          </c:spPr>
          <c:marker>
            <c:symbol val="none"/>
          </c:marker>
          <c:val>
            <c:numRef>
              <c:f>Schedules!#REF!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Schedules!#REF!</c15:sqref>
                        </c15:formulaRef>
                      </c:ext>
                    </c:extLst>
                    <c:strCache>
                      <c:ptCount val="1"/>
                      <c:pt idx="0">
                        <c:v>#REF!</c:v>
                      </c:pt>
                    </c:strCache>
                  </c:strRef>
                </c15:tx>
              </c15:filteredSeriesTitle>
            </c:ext>
            <c:ext xmlns:c16="http://schemas.microsoft.com/office/drawing/2014/chart" uri="{C3380CC4-5D6E-409C-BE32-E72D297353CC}">
              <c16:uniqueId val="{00000002-EDAA-0F4D-9F74-8DC55BB53FD9}"/>
            </c:ext>
          </c:extLst>
        </c:ser>
        <c:dLbls>
          <c:showLegendKey val="0"/>
          <c:showVal val="0"/>
          <c:showCatName val="0"/>
          <c:showSerName val="0"/>
          <c:showPercent val="0"/>
          <c:showBubbleSize val="0"/>
        </c:dLbls>
        <c:smooth val="0"/>
        <c:axId val="1801622976"/>
        <c:axId val="1801623456"/>
      </c:lineChart>
      <c:catAx>
        <c:axId val="1801622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1623456"/>
        <c:crosses val="autoZero"/>
        <c:auto val="1"/>
        <c:lblAlgn val="ctr"/>
        <c:lblOffset val="100"/>
        <c:noMultiLvlLbl val="0"/>
      </c:catAx>
      <c:valAx>
        <c:axId val="180162345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1622976"/>
        <c:crosses val="autoZero"/>
        <c:crossBetween val="between"/>
        <c:majorUnit val="0.2"/>
        <c:minorUnit val="0.1"/>
      </c:valAx>
      <c:spPr>
        <a:noFill/>
        <a:ln>
          <a:noFill/>
        </a:ln>
        <a:effectLst/>
      </c:spPr>
    </c:plotArea>
    <c:legend>
      <c:legendPos val="b"/>
      <c:layout>
        <c:manualLayout>
          <c:xMode val="edge"/>
          <c:yMode val="edge"/>
          <c:x val="0.69237621385546944"/>
          <c:y val="3.6261079321075841E-2"/>
          <c:w val="0.28941482691935089"/>
          <c:h val="0.313989478160883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'Latent Load and Setpoint'!#REF!</c:f>
          <c:strCache>
            <c:ptCount val="1"/>
            <c:pt idx="0">
              <c:v>#REF!</c:v>
            </c:pt>
          </c:strCache>
        </c:strRef>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301696646995022"/>
          <c:y val="0.21667624165005125"/>
          <c:w val="0.86296940073898609"/>
          <c:h val="0.51057641399975218"/>
        </c:manualLayout>
      </c:layout>
      <c:lineChart>
        <c:grouping val="standard"/>
        <c:varyColors val="0"/>
        <c:ser>
          <c:idx val="0"/>
          <c:order val="0"/>
          <c:spPr>
            <a:ln w="28575" cap="rnd">
              <a:solidFill>
                <a:schemeClr val="accent1"/>
              </a:solidFill>
              <a:round/>
            </a:ln>
            <a:effectLst/>
          </c:spPr>
          <c:marker>
            <c:symbol val="none"/>
          </c:marker>
          <c:val>
            <c:numRef>
              <c:f>'Latent Load and Setpoint'!#REF!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'Latent Load and Setpoint'!#REF!</c15:sqref>
                        </c15:formulaRef>
                      </c:ext>
                    </c:extLst>
                    <c:strCache>
                      <c:ptCount val="1"/>
                      <c:pt idx="0">
                        <c:v>#REF!</c:v>
                      </c:pt>
                    </c:strCache>
                  </c:strRef>
                </c15:tx>
              </c15:filteredSeriesTitle>
            </c:ext>
            <c:ext xmlns:c16="http://schemas.microsoft.com/office/drawing/2014/chart" uri="{C3380CC4-5D6E-409C-BE32-E72D297353CC}">
              <c16:uniqueId val="{00000000-B678-664D-B117-01B2ECFB9A75}"/>
            </c:ext>
          </c:extLst>
        </c:ser>
        <c:ser>
          <c:idx val="1"/>
          <c:order val="1"/>
          <c:spPr>
            <a:ln w="28575" cap="rnd">
              <a:solidFill>
                <a:schemeClr val="accent2"/>
              </a:solidFill>
              <a:round/>
            </a:ln>
            <a:effectLst/>
          </c:spPr>
          <c:marker>
            <c:symbol val="none"/>
          </c:marker>
          <c:val>
            <c:numRef>
              <c:f>'Latent Load and Setpoint'!#REF!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'Latent Load and Setpoint'!#REF!</c15:sqref>
                        </c15:formulaRef>
                      </c:ext>
                    </c:extLst>
                    <c:strCache>
                      <c:ptCount val="1"/>
                      <c:pt idx="0">
                        <c:v>#REF!</c:v>
                      </c:pt>
                    </c:strCache>
                  </c:strRef>
                </c15:tx>
              </c15:filteredSeriesTitle>
            </c:ext>
            <c:ext xmlns:c16="http://schemas.microsoft.com/office/drawing/2014/chart" uri="{C3380CC4-5D6E-409C-BE32-E72D297353CC}">
              <c16:uniqueId val="{00000001-B678-664D-B117-01B2ECFB9A75}"/>
            </c:ext>
          </c:extLst>
        </c:ser>
        <c:ser>
          <c:idx val="2"/>
          <c:order val="2"/>
          <c:spPr>
            <a:ln w="28575" cap="rnd">
              <a:solidFill>
                <a:schemeClr val="accent3"/>
              </a:solidFill>
              <a:round/>
            </a:ln>
            <a:effectLst/>
          </c:spPr>
          <c:marker>
            <c:symbol val="none"/>
          </c:marker>
          <c:val>
            <c:numRef>
              <c:f>'Latent Load and Setpoint'!#REF!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'Latent Load and Setpoint'!#REF!</c15:sqref>
                        </c15:formulaRef>
                      </c:ext>
                    </c:extLst>
                    <c:strCache>
                      <c:ptCount val="1"/>
                      <c:pt idx="0">
                        <c:v>#REF!</c:v>
                      </c:pt>
                    </c:strCache>
                  </c:strRef>
                </c15:tx>
              </c15:filteredSeriesTitle>
            </c:ext>
            <c:ext xmlns:c16="http://schemas.microsoft.com/office/drawing/2014/chart" uri="{C3380CC4-5D6E-409C-BE32-E72D297353CC}">
              <c16:uniqueId val="{00000002-B678-664D-B117-01B2ECFB9A75}"/>
            </c:ext>
          </c:extLst>
        </c:ser>
        <c:dLbls>
          <c:showLegendKey val="0"/>
          <c:showVal val="0"/>
          <c:showCatName val="0"/>
          <c:showSerName val="0"/>
          <c:showPercent val="0"/>
          <c:showBubbleSize val="0"/>
        </c:dLbls>
        <c:smooth val="0"/>
        <c:axId val="1801622976"/>
        <c:axId val="1801623456"/>
      </c:lineChart>
      <c:catAx>
        <c:axId val="1801622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1623456"/>
        <c:crosses val="autoZero"/>
        <c:auto val="1"/>
        <c:lblAlgn val="ctr"/>
        <c:lblOffset val="100"/>
        <c:noMultiLvlLbl val="0"/>
      </c:catAx>
      <c:valAx>
        <c:axId val="180162345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1622976"/>
        <c:crosses val="autoZero"/>
        <c:crossBetween val="between"/>
        <c:majorUnit val="0.2"/>
        <c:minorUnit val="0.1"/>
      </c:valAx>
      <c:spPr>
        <a:noFill/>
        <a:ln>
          <a:noFill/>
        </a:ln>
        <a:effectLst/>
      </c:spPr>
    </c:plotArea>
    <c:legend>
      <c:legendPos val="b"/>
      <c:layout>
        <c:manualLayout>
          <c:xMode val="edge"/>
          <c:yMode val="edge"/>
          <c:x val="0.69237621385546944"/>
          <c:y val="3.6261079321075841E-2"/>
          <c:w val="0.28941482691935089"/>
          <c:h val="0.313989478160883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Flower Evapotranspiration Schedule</a:t>
            </a:r>
            <a:r>
              <a:rPr lang="en-US" baseline="0"/>
              <a:t> (% of Peak Latent Load)</a:t>
            </a:r>
            <a:endParaRPr lang="en-US"/>
          </a:p>
        </c:rich>
      </c:tx>
      <c:layout>
        <c:manualLayout>
          <c:xMode val="edge"/>
          <c:yMode val="edge"/>
          <c:x val="0.32115514191984845"/>
          <c:y val="1.642105480925716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spPr>
            <a:solidFill>
              <a:schemeClr val="accent1">
                <a:shade val="41000"/>
              </a:schemeClr>
            </a:solidFill>
            <a:ln>
              <a:noFill/>
            </a:ln>
            <a:effectLst/>
          </c:spPr>
          <c:invertIfNegative val="0"/>
          <c:cat>
            <c:strRef>
              <c:f>'Latent Load and Setpoint'!$D$7:$D$11</c:f>
              <c:strCache>
                <c:ptCount val="5"/>
                <c:pt idx="0">
                  <c:v>Initial Stage (7 days)</c:v>
                </c:pt>
                <c:pt idx="1">
                  <c:v>Early Stage (7 days)</c:v>
                </c:pt>
                <c:pt idx="2">
                  <c:v>Mid Stage (35 days)</c:v>
                </c:pt>
                <c:pt idx="3">
                  <c:v>Late Stage (14 days)</c:v>
                </c:pt>
                <c:pt idx="4">
                  <c:v>Crop Rotation (4 days)</c:v>
                </c:pt>
              </c:strCache>
            </c:strRef>
          </c:cat>
          <c:val>
            <c:numRef>
              <c:f>'Latent Load and Setpoint'!$F$7:$F$11</c:f>
              <c:numCache>
                <c:formatCode>0</c:formatCode>
                <c:ptCount val="5"/>
                <c:pt idx="0">
                  <c:v>12</c:v>
                </c:pt>
                <c:pt idx="1">
                  <c:v>14</c:v>
                </c:pt>
                <c:pt idx="2">
                  <c:v>18</c:v>
                </c:pt>
                <c:pt idx="3">
                  <c:v>25</c:v>
                </c:pt>
                <c:pt idx="4">
                  <c:v>0</c:v>
                </c:pt>
              </c:numCache>
            </c:numRef>
          </c:val>
          <c:extLst>
            <c:ext xmlns:c16="http://schemas.microsoft.com/office/drawing/2014/chart" uri="{C3380CC4-5D6E-409C-BE32-E72D297353CC}">
              <c16:uniqueId val="{00000000-8304-6040-97FB-0E6E25199E6C}"/>
            </c:ext>
          </c:extLst>
        </c:ser>
        <c:ser>
          <c:idx val="2"/>
          <c:order val="1"/>
          <c:spPr>
            <a:solidFill>
              <a:schemeClr val="accent1">
                <a:shade val="46000"/>
              </a:schemeClr>
            </a:solidFill>
            <a:ln>
              <a:noFill/>
            </a:ln>
            <a:effectLst/>
          </c:spPr>
          <c:invertIfNegative val="0"/>
          <c:cat>
            <c:strRef>
              <c:f>'Latent Load and Setpoint'!$D$7:$D$11</c:f>
              <c:strCache>
                <c:ptCount val="5"/>
                <c:pt idx="0">
                  <c:v>Initial Stage (7 days)</c:v>
                </c:pt>
                <c:pt idx="1">
                  <c:v>Early Stage (7 days)</c:v>
                </c:pt>
                <c:pt idx="2">
                  <c:v>Mid Stage (35 days)</c:v>
                </c:pt>
                <c:pt idx="3">
                  <c:v>Late Stage (14 days)</c:v>
                </c:pt>
                <c:pt idx="4">
                  <c:v>Crop Rotation (4 days)</c:v>
                </c:pt>
              </c:strCache>
            </c:strRef>
          </c:cat>
          <c:val>
            <c:numRef>
              <c:f>'Latent Load and Setpoint'!$G$7:$G$11</c:f>
              <c:numCache>
                <c:formatCode>0</c:formatCode>
                <c:ptCount val="5"/>
                <c:pt idx="0">
                  <c:v>12</c:v>
                </c:pt>
                <c:pt idx="1">
                  <c:v>14</c:v>
                </c:pt>
                <c:pt idx="2">
                  <c:v>18</c:v>
                </c:pt>
                <c:pt idx="3">
                  <c:v>25</c:v>
                </c:pt>
                <c:pt idx="4">
                  <c:v>0</c:v>
                </c:pt>
              </c:numCache>
            </c:numRef>
          </c:val>
          <c:extLst>
            <c:ext xmlns:c16="http://schemas.microsoft.com/office/drawing/2014/chart" uri="{C3380CC4-5D6E-409C-BE32-E72D297353CC}">
              <c16:uniqueId val="{00000001-8304-6040-97FB-0E6E25199E6C}"/>
            </c:ext>
          </c:extLst>
        </c:ser>
        <c:ser>
          <c:idx val="3"/>
          <c:order val="2"/>
          <c:spPr>
            <a:solidFill>
              <a:schemeClr val="accent1">
                <a:shade val="52000"/>
              </a:schemeClr>
            </a:solidFill>
            <a:ln>
              <a:noFill/>
            </a:ln>
            <a:effectLst/>
          </c:spPr>
          <c:invertIfNegative val="0"/>
          <c:cat>
            <c:strRef>
              <c:f>'Latent Load and Setpoint'!$D$7:$D$11</c:f>
              <c:strCache>
                <c:ptCount val="5"/>
                <c:pt idx="0">
                  <c:v>Initial Stage (7 days)</c:v>
                </c:pt>
                <c:pt idx="1">
                  <c:v>Early Stage (7 days)</c:v>
                </c:pt>
                <c:pt idx="2">
                  <c:v>Mid Stage (35 days)</c:v>
                </c:pt>
                <c:pt idx="3">
                  <c:v>Late Stage (14 days)</c:v>
                </c:pt>
                <c:pt idx="4">
                  <c:v>Crop Rotation (4 days)</c:v>
                </c:pt>
              </c:strCache>
            </c:strRef>
          </c:cat>
          <c:val>
            <c:numRef>
              <c:f>'Latent Load and Setpoint'!$H$7:$H$11</c:f>
              <c:numCache>
                <c:formatCode>0</c:formatCode>
                <c:ptCount val="5"/>
                <c:pt idx="0">
                  <c:v>12</c:v>
                </c:pt>
                <c:pt idx="1">
                  <c:v>14</c:v>
                </c:pt>
                <c:pt idx="2">
                  <c:v>18</c:v>
                </c:pt>
                <c:pt idx="3">
                  <c:v>25</c:v>
                </c:pt>
                <c:pt idx="4">
                  <c:v>0</c:v>
                </c:pt>
              </c:numCache>
            </c:numRef>
          </c:val>
          <c:extLst>
            <c:ext xmlns:c16="http://schemas.microsoft.com/office/drawing/2014/chart" uri="{C3380CC4-5D6E-409C-BE32-E72D297353CC}">
              <c16:uniqueId val="{00000002-8304-6040-97FB-0E6E25199E6C}"/>
            </c:ext>
          </c:extLst>
        </c:ser>
        <c:ser>
          <c:idx val="4"/>
          <c:order val="3"/>
          <c:spPr>
            <a:solidFill>
              <a:schemeClr val="accent1">
                <a:shade val="58000"/>
              </a:schemeClr>
            </a:solidFill>
            <a:ln>
              <a:noFill/>
            </a:ln>
            <a:effectLst/>
          </c:spPr>
          <c:invertIfNegative val="0"/>
          <c:cat>
            <c:strRef>
              <c:f>'Latent Load and Setpoint'!$D$7:$D$11</c:f>
              <c:strCache>
                <c:ptCount val="5"/>
                <c:pt idx="0">
                  <c:v>Initial Stage (7 days)</c:v>
                </c:pt>
                <c:pt idx="1">
                  <c:v>Early Stage (7 days)</c:v>
                </c:pt>
                <c:pt idx="2">
                  <c:v>Mid Stage (35 days)</c:v>
                </c:pt>
                <c:pt idx="3">
                  <c:v>Late Stage (14 days)</c:v>
                </c:pt>
                <c:pt idx="4">
                  <c:v>Crop Rotation (4 days)</c:v>
                </c:pt>
              </c:strCache>
            </c:strRef>
          </c:cat>
          <c:val>
            <c:numRef>
              <c:f>'Latent Load and Setpoint'!$I$7:$I$11</c:f>
              <c:numCache>
                <c:formatCode>0</c:formatCode>
                <c:ptCount val="5"/>
                <c:pt idx="0">
                  <c:v>12</c:v>
                </c:pt>
                <c:pt idx="1">
                  <c:v>14</c:v>
                </c:pt>
                <c:pt idx="2">
                  <c:v>18</c:v>
                </c:pt>
                <c:pt idx="3">
                  <c:v>25</c:v>
                </c:pt>
                <c:pt idx="4">
                  <c:v>0</c:v>
                </c:pt>
              </c:numCache>
            </c:numRef>
          </c:val>
          <c:extLst>
            <c:ext xmlns:c16="http://schemas.microsoft.com/office/drawing/2014/chart" uri="{C3380CC4-5D6E-409C-BE32-E72D297353CC}">
              <c16:uniqueId val="{00000003-8304-6040-97FB-0E6E25199E6C}"/>
            </c:ext>
          </c:extLst>
        </c:ser>
        <c:ser>
          <c:idx val="5"/>
          <c:order val="4"/>
          <c:spPr>
            <a:solidFill>
              <a:schemeClr val="accent1">
                <a:shade val="63000"/>
              </a:schemeClr>
            </a:solidFill>
            <a:ln>
              <a:noFill/>
            </a:ln>
            <a:effectLst/>
          </c:spPr>
          <c:invertIfNegative val="0"/>
          <c:cat>
            <c:strRef>
              <c:f>'Latent Load and Setpoint'!$D$7:$D$11</c:f>
              <c:strCache>
                <c:ptCount val="5"/>
                <c:pt idx="0">
                  <c:v>Initial Stage (7 days)</c:v>
                </c:pt>
                <c:pt idx="1">
                  <c:v>Early Stage (7 days)</c:v>
                </c:pt>
                <c:pt idx="2">
                  <c:v>Mid Stage (35 days)</c:v>
                </c:pt>
                <c:pt idx="3">
                  <c:v>Late Stage (14 days)</c:v>
                </c:pt>
                <c:pt idx="4">
                  <c:v>Crop Rotation (4 days)</c:v>
                </c:pt>
              </c:strCache>
            </c:strRef>
          </c:cat>
          <c:val>
            <c:numRef>
              <c:f>'Latent Load and Setpoint'!$J$7:$J$11</c:f>
              <c:numCache>
                <c:formatCode>0</c:formatCode>
                <c:ptCount val="5"/>
                <c:pt idx="0">
                  <c:v>12</c:v>
                </c:pt>
                <c:pt idx="1">
                  <c:v>14</c:v>
                </c:pt>
                <c:pt idx="2">
                  <c:v>18</c:v>
                </c:pt>
                <c:pt idx="3">
                  <c:v>25</c:v>
                </c:pt>
                <c:pt idx="4">
                  <c:v>0</c:v>
                </c:pt>
              </c:numCache>
            </c:numRef>
          </c:val>
          <c:extLst>
            <c:ext xmlns:c16="http://schemas.microsoft.com/office/drawing/2014/chart" uri="{C3380CC4-5D6E-409C-BE32-E72D297353CC}">
              <c16:uniqueId val="{00000004-8304-6040-97FB-0E6E25199E6C}"/>
            </c:ext>
          </c:extLst>
        </c:ser>
        <c:ser>
          <c:idx val="0"/>
          <c:order val="5"/>
          <c:spPr>
            <a:solidFill>
              <a:schemeClr val="accent1">
                <a:shade val="35000"/>
              </a:schemeClr>
            </a:solidFill>
            <a:ln>
              <a:noFill/>
            </a:ln>
            <a:effectLst/>
          </c:spPr>
          <c:invertIfNegative val="0"/>
          <c:cat>
            <c:strRef>
              <c:f>'Latent Load and Setpoint'!$D$7:$D$11</c:f>
              <c:strCache>
                <c:ptCount val="5"/>
                <c:pt idx="0">
                  <c:v>Initial Stage (7 days)</c:v>
                </c:pt>
                <c:pt idx="1">
                  <c:v>Early Stage (7 days)</c:v>
                </c:pt>
                <c:pt idx="2">
                  <c:v>Mid Stage (35 days)</c:v>
                </c:pt>
                <c:pt idx="3">
                  <c:v>Late Stage (14 days)</c:v>
                </c:pt>
                <c:pt idx="4">
                  <c:v>Crop Rotation (4 days)</c:v>
                </c:pt>
              </c:strCache>
            </c:strRef>
          </c:cat>
          <c:val>
            <c:numRef>
              <c:f>'Latent Load and Setpoint'!$E$7:$E$11</c:f>
              <c:numCache>
                <c:formatCode>0</c:formatCode>
                <c:ptCount val="5"/>
                <c:pt idx="0">
                  <c:v>12</c:v>
                </c:pt>
                <c:pt idx="1">
                  <c:v>14</c:v>
                </c:pt>
                <c:pt idx="2">
                  <c:v>18</c:v>
                </c:pt>
                <c:pt idx="3">
                  <c:v>25</c:v>
                </c:pt>
                <c:pt idx="4">
                  <c:v>0</c:v>
                </c:pt>
              </c:numCache>
            </c:numRef>
          </c:val>
          <c:extLst>
            <c:ext xmlns:c16="http://schemas.microsoft.com/office/drawing/2014/chart" uri="{C3380CC4-5D6E-409C-BE32-E72D297353CC}">
              <c16:uniqueId val="{00000005-8304-6040-97FB-0E6E25199E6C}"/>
            </c:ext>
          </c:extLst>
        </c:ser>
        <c:ser>
          <c:idx val="6"/>
          <c:order val="6"/>
          <c:spPr>
            <a:solidFill>
              <a:schemeClr val="accent1">
                <a:shade val="69000"/>
              </a:schemeClr>
            </a:solidFill>
            <a:ln>
              <a:noFill/>
            </a:ln>
            <a:effectLst/>
          </c:spPr>
          <c:invertIfNegative val="0"/>
          <c:cat>
            <c:strRef>
              <c:f>'Latent Load and Setpoint'!$D$7:$D$11</c:f>
              <c:strCache>
                <c:ptCount val="5"/>
                <c:pt idx="0">
                  <c:v>Initial Stage (7 days)</c:v>
                </c:pt>
                <c:pt idx="1">
                  <c:v>Early Stage (7 days)</c:v>
                </c:pt>
                <c:pt idx="2">
                  <c:v>Mid Stage (35 days)</c:v>
                </c:pt>
                <c:pt idx="3">
                  <c:v>Late Stage (14 days)</c:v>
                </c:pt>
                <c:pt idx="4">
                  <c:v>Crop Rotation (4 days)</c:v>
                </c:pt>
              </c:strCache>
            </c:strRef>
          </c:cat>
          <c:val>
            <c:numRef>
              <c:f>'Latent Load and Setpoint'!$K$7:$K$11</c:f>
              <c:numCache>
                <c:formatCode>0</c:formatCode>
                <c:ptCount val="5"/>
                <c:pt idx="0">
                  <c:v>30</c:v>
                </c:pt>
                <c:pt idx="1">
                  <c:v>60</c:v>
                </c:pt>
                <c:pt idx="2">
                  <c:v>73</c:v>
                </c:pt>
                <c:pt idx="3">
                  <c:v>68</c:v>
                </c:pt>
                <c:pt idx="4">
                  <c:v>0</c:v>
                </c:pt>
              </c:numCache>
            </c:numRef>
          </c:val>
          <c:extLst>
            <c:ext xmlns:c16="http://schemas.microsoft.com/office/drawing/2014/chart" uri="{C3380CC4-5D6E-409C-BE32-E72D297353CC}">
              <c16:uniqueId val="{00000006-8304-6040-97FB-0E6E25199E6C}"/>
            </c:ext>
          </c:extLst>
        </c:ser>
        <c:ser>
          <c:idx val="7"/>
          <c:order val="7"/>
          <c:spPr>
            <a:solidFill>
              <a:schemeClr val="accent1">
                <a:shade val="74000"/>
              </a:schemeClr>
            </a:solidFill>
            <a:ln>
              <a:noFill/>
            </a:ln>
            <a:effectLst/>
          </c:spPr>
          <c:invertIfNegative val="0"/>
          <c:cat>
            <c:strRef>
              <c:f>'Latent Load and Setpoint'!$D$7:$D$11</c:f>
              <c:strCache>
                <c:ptCount val="5"/>
                <c:pt idx="0">
                  <c:v>Initial Stage (7 days)</c:v>
                </c:pt>
                <c:pt idx="1">
                  <c:v>Early Stage (7 days)</c:v>
                </c:pt>
                <c:pt idx="2">
                  <c:v>Mid Stage (35 days)</c:v>
                </c:pt>
                <c:pt idx="3">
                  <c:v>Late Stage (14 days)</c:v>
                </c:pt>
                <c:pt idx="4">
                  <c:v>Crop Rotation (4 days)</c:v>
                </c:pt>
              </c:strCache>
            </c:strRef>
          </c:cat>
          <c:val>
            <c:numRef>
              <c:f>'Latent Load and Setpoint'!$L$7:$L$11</c:f>
              <c:numCache>
                <c:formatCode>0</c:formatCode>
                <c:ptCount val="5"/>
                <c:pt idx="0">
                  <c:v>40</c:v>
                </c:pt>
                <c:pt idx="1">
                  <c:v>70</c:v>
                </c:pt>
                <c:pt idx="2">
                  <c:v>82</c:v>
                </c:pt>
                <c:pt idx="3">
                  <c:v>75</c:v>
                </c:pt>
                <c:pt idx="4">
                  <c:v>0</c:v>
                </c:pt>
              </c:numCache>
            </c:numRef>
          </c:val>
          <c:extLst>
            <c:ext xmlns:c16="http://schemas.microsoft.com/office/drawing/2014/chart" uri="{C3380CC4-5D6E-409C-BE32-E72D297353CC}">
              <c16:uniqueId val="{00000007-8304-6040-97FB-0E6E25199E6C}"/>
            </c:ext>
          </c:extLst>
        </c:ser>
        <c:ser>
          <c:idx val="8"/>
          <c:order val="8"/>
          <c:spPr>
            <a:solidFill>
              <a:schemeClr val="accent1">
                <a:shade val="80000"/>
              </a:schemeClr>
            </a:solidFill>
            <a:ln>
              <a:noFill/>
            </a:ln>
            <a:effectLst/>
          </c:spPr>
          <c:invertIfNegative val="0"/>
          <c:cat>
            <c:strRef>
              <c:f>'Latent Load and Setpoint'!$D$7:$D$11</c:f>
              <c:strCache>
                <c:ptCount val="5"/>
                <c:pt idx="0">
                  <c:v>Initial Stage (7 days)</c:v>
                </c:pt>
                <c:pt idx="1">
                  <c:v>Early Stage (7 days)</c:v>
                </c:pt>
                <c:pt idx="2">
                  <c:v>Mid Stage (35 days)</c:v>
                </c:pt>
                <c:pt idx="3">
                  <c:v>Late Stage (14 days)</c:v>
                </c:pt>
                <c:pt idx="4">
                  <c:v>Crop Rotation (4 days)</c:v>
                </c:pt>
              </c:strCache>
            </c:strRef>
          </c:cat>
          <c:val>
            <c:numRef>
              <c:f>'Latent Load and Setpoint'!$M$7:$M$11</c:f>
              <c:numCache>
                <c:formatCode>0</c:formatCode>
                <c:ptCount val="5"/>
                <c:pt idx="0">
                  <c:v>45</c:v>
                </c:pt>
                <c:pt idx="1">
                  <c:v>75</c:v>
                </c:pt>
                <c:pt idx="2">
                  <c:v>91</c:v>
                </c:pt>
                <c:pt idx="3">
                  <c:v>83</c:v>
                </c:pt>
                <c:pt idx="4">
                  <c:v>0</c:v>
                </c:pt>
              </c:numCache>
            </c:numRef>
          </c:val>
          <c:extLst>
            <c:ext xmlns:c16="http://schemas.microsoft.com/office/drawing/2014/chart" uri="{C3380CC4-5D6E-409C-BE32-E72D297353CC}">
              <c16:uniqueId val="{00000008-8304-6040-97FB-0E6E25199E6C}"/>
            </c:ext>
          </c:extLst>
        </c:ser>
        <c:ser>
          <c:idx val="9"/>
          <c:order val="9"/>
          <c:spPr>
            <a:solidFill>
              <a:schemeClr val="accent1">
                <a:shade val="86000"/>
              </a:schemeClr>
            </a:solidFill>
            <a:ln>
              <a:noFill/>
            </a:ln>
            <a:effectLst/>
          </c:spPr>
          <c:invertIfNegative val="0"/>
          <c:cat>
            <c:strRef>
              <c:f>'Latent Load and Setpoint'!$D$7:$D$11</c:f>
              <c:strCache>
                <c:ptCount val="5"/>
                <c:pt idx="0">
                  <c:v>Initial Stage (7 days)</c:v>
                </c:pt>
                <c:pt idx="1">
                  <c:v>Early Stage (7 days)</c:v>
                </c:pt>
                <c:pt idx="2">
                  <c:v>Mid Stage (35 days)</c:v>
                </c:pt>
                <c:pt idx="3">
                  <c:v>Late Stage (14 days)</c:v>
                </c:pt>
                <c:pt idx="4">
                  <c:v>Crop Rotation (4 days)</c:v>
                </c:pt>
              </c:strCache>
            </c:strRef>
          </c:cat>
          <c:val>
            <c:numRef>
              <c:f>'Latent Load and Setpoint'!$N$7:$N$11</c:f>
              <c:numCache>
                <c:formatCode>0</c:formatCode>
                <c:ptCount val="5"/>
                <c:pt idx="0">
                  <c:v>50</c:v>
                </c:pt>
                <c:pt idx="1">
                  <c:v>80</c:v>
                </c:pt>
                <c:pt idx="2">
                  <c:v>100</c:v>
                </c:pt>
                <c:pt idx="3">
                  <c:v>90</c:v>
                </c:pt>
                <c:pt idx="4">
                  <c:v>0</c:v>
                </c:pt>
              </c:numCache>
            </c:numRef>
          </c:val>
          <c:extLst>
            <c:ext xmlns:c16="http://schemas.microsoft.com/office/drawing/2014/chart" uri="{C3380CC4-5D6E-409C-BE32-E72D297353CC}">
              <c16:uniqueId val="{00000009-8304-6040-97FB-0E6E25199E6C}"/>
            </c:ext>
          </c:extLst>
        </c:ser>
        <c:ser>
          <c:idx val="10"/>
          <c:order val="10"/>
          <c:spPr>
            <a:solidFill>
              <a:schemeClr val="accent1">
                <a:shade val="91000"/>
              </a:schemeClr>
            </a:solidFill>
            <a:ln>
              <a:noFill/>
            </a:ln>
            <a:effectLst/>
          </c:spPr>
          <c:invertIfNegative val="0"/>
          <c:cat>
            <c:strRef>
              <c:f>'Latent Load and Setpoint'!$D$7:$D$11</c:f>
              <c:strCache>
                <c:ptCount val="5"/>
                <c:pt idx="0">
                  <c:v>Initial Stage (7 days)</c:v>
                </c:pt>
                <c:pt idx="1">
                  <c:v>Early Stage (7 days)</c:v>
                </c:pt>
                <c:pt idx="2">
                  <c:v>Mid Stage (35 days)</c:v>
                </c:pt>
                <c:pt idx="3">
                  <c:v>Late Stage (14 days)</c:v>
                </c:pt>
                <c:pt idx="4">
                  <c:v>Crop Rotation (4 days)</c:v>
                </c:pt>
              </c:strCache>
            </c:strRef>
          </c:cat>
          <c:val>
            <c:numRef>
              <c:f>'Latent Load and Setpoint'!$O$7:$O$11</c:f>
              <c:numCache>
                <c:formatCode>0</c:formatCode>
                <c:ptCount val="5"/>
                <c:pt idx="0">
                  <c:v>50</c:v>
                </c:pt>
                <c:pt idx="1">
                  <c:v>80</c:v>
                </c:pt>
                <c:pt idx="2">
                  <c:v>100</c:v>
                </c:pt>
                <c:pt idx="3">
                  <c:v>90</c:v>
                </c:pt>
                <c:pt idx="4">
                  <c:v>0</c:v>
                </c:pt>
              </c:numCache>
            </c:numRef>
          </c:val>
          <c:extLst>
            <c:ext xmlns:c16="http://schemas.microsoft.com/office/drawing/2014/chart" uri="{C3380CC4-5D6E-409C-BE32-E72D297353CC}">
              <c16:uniqueId val="{0000000A-8304-6040-97FB-0E6E25199E6C}"/>
            </c:ext>
          </c:extLst>
        </c:ser>
        <c:ser>
          <c:idx val="11"/>
          <c:order val="11"/>
          <c:spPr>
            <a:solidFill>
              <a:schemeClr val="accent1">
                <a:shade val="97000"/>
              </a:schemeClr>
            </a:solidFill>
            <a:ln>
              <a:noFill/>
            </a:ln>
            <a:effectLst/>
          </c:spPr>
          <c:invertIfNegative val="0"/>
          <c:cat>
            <c:strRef>
              <c:f>'Latent Load and Setpoint'!$D$7:$D$11</c:f>
              <c:strCache>
                <c:ptCount val="5"/>
                <c:pt idx="0">
                  <c:v>Initial Stage (7 days)</c:v>
                </c:pt>
                <c:pt idx="1">
                  <c:v>Early Stage (7 days)</c:v>
                </c:pt>
                <c:pt idx="2">
                  <c:v>Mid Stage (35 days)</c:v>
                </c:pt>
                <c:pt idx="3">
                  <c:v>Late Stage (14 days)</c:v>
                </c:pt>
                <c:pt idx="4">
                  <c:v>Crop Rotation (4 days)</c:v>
                </c:pt>
              </c:strCache>
            </c:strRef>
          </c:cat>
          <c:val>
            <c:numRef>
              <c:f>'Latent Load and Setpoint'!$P$7:$P$11</c:f>
              <c:numCache>
                <c:formatCode>0</c:formatCode>
                <c:ptCount val="5"/>
                <c:pt idx="0">
                  <c:v>50</c:v>
                </c:pt>
                <c:pt idx="1">
                  <c:v>80</c:v>
                </c:pt>
                <c:pt idx="2">
                  <c:v>100</c:v>
                </c:pt>
                <c:pt idx="3">
                  <c:v>90</c:v>
                </c:pt>
                <c:pt idx="4">
                  <c:v>0</c:v>
                </c:pt>
              </c:numCache>
            </c:numRef>
          </c:val>
          <c:extLst>
            <c:ext xmlns:c16="http://schemas.microsoft.com/office/drawing/2014/chart" uri="{C3380CC4-5D6E-409C-BE32-E72D297353CC}">
              <c16:uniqueId val="{0000000B-8304-6040-97FB-0E6E25199E6C}"/>
            </c:ext>
          </c:extLst>
        </c:ser>
        <c:ser>
          <c:idx val="12"/>
          <c:order val="12"/>
          <c:spPr>
            <a:solidFill>
              <a:schemeClr val="accent1">
                <a:tint val="98000"/>
              </a:schemeClr>
            </a:solidFill>
            <a:ln>
              <a:noFill/>
            </a:ln>
            <a:effectLst/>
          </c:spPr>
          <c:invertIfNegative val="0"/>
          <c:cat>
            <c:strRef>
              <c:f>'Latent Load and Setpoint'!$D$7:$D$11</c:f>
              <c:strCache>
                <c:ptCount val="5"/>
                <c:pt idx="0">
                  <c:v>Initial Stage (7 days)</c:v>
                </c:pt>
                <c:pt idx="1">
                  <c:v>Early Stage (7 days)</c:v>
                </c:pt>
                <c:pt idx="2">
                  <c:v>Mid Stage (35 days)</c:v>
                </c:pt>
                <c:pt idx="3">
                  <c:v>Late Stage (14 days)</c:v>
                </c:pt>
                <c:pt idx="4">
                  <c:v>Crop Rotation (4 days)</c:v>
                </c:pt>
              </c:strCache>
            </c:strRef>
          </c:cat>
          <c:val>
            <c:numRef>
              <c:f>'Latent Load and Setpoint'!$Q$7:$Q$11</c:f>
              <c:numCache>
                <c:formatCode>0</c:formatCode>
                <c:ptCount val="5"/>
                <c:pt idx="0">
                  <c:v>50</c:v>
                </c:pt>
                <c:pt idx="1">
                  <c:v>80</c:v>
                </c:pt>
                <c:pt idx="2">
                  <c:v>100</c:v>
                </c:pt>
                <c:pt idx="3">
                  <c:v>90</c:v>
                </c:pt>
                <c:pt idx="4">
                  <c:v>0</c:v>
                </c:pt>
              </c:numCache>
            </c:numRef>
          </c:val>
          <c:extLst>
            <c:ext xmlns:c16="http://schemas.microsoft.com/office/drawing/2014/chart" uri="{C3380CC4-5D6E-409C-BE32-E72D297353CC}">
              <c16:uniqueId val="{0000000C-8304-6040-97FB-0E6E25199E6C}"/>
            </c:ext>
          </c:extLst>
        </c:ser>
        <c:ser>
          <c:idx val="13"/>
          <c:order val="13"/>
          <c:spPr>
            <a:solidFill>
              <a:schemeClr val="accent1">
                <a:tint val="92000"/>
              </a:schemeClr>
            </a:solidFill>
            <a:ln>
              <a:noFill/>
            </a:ln>
            <a:effectLst/>
          </c:spPr>
          <c:invertIfNegative val="0"/>
          <c:cat>
            <c:strRef>
              <c:f>'Latent Load and Setpoint'!$D$7:$D$11</c:f>
              <c:strCache>
                <c:ptCount val="5"/>
                <c:pt idx="0">
                  <c:v>Initial Stage (7 days)</c:v>
                </c:pt>
                <c:pt idx="1">
                  <c:v>Early Stage (7 days)</c:v>
                </c:pt>
                <c:pt idx="2">
                  <c:v>Mid Stage (35 days)</c:v>
                </c:pt>
                <c:pt idx="3">
                  <c:v>Late Stage (14 days)</c:v>
                </c:pt>
                <c:pt idx="4">
                  <c:v>Crop Rotation (4 days)</c:v>
                </c:pt>
              </c:strCache>
            </c:strRef>
          </c:cat>
          <c:val>
            <c:numRef>
              <c:f>'Latent Load and Setpoint'!$R$7:$R$11</c:f>
              <c:numCache>
                <c:formatCode>0</c:formatCode>
                <c:ptCount val="5"/>
                <c:pt idx="0">
                  <c:v>50</c:v>
                </c:pt>
                <c:pt idx="1">
                  <c:v>80</c:v>
                </c:pt>
                <c:pt idx="2">
                  <c:v>100</c:v>
                </c:pt>
                <c:pt idx="3">
                  <c:v>90</c:v>
                </c:pt>
                <c:pt idx="4">
                  <c:v>0</c:v>
                </c:pt>
              </c:numCache>
            </c:numRef>
          </c:val>
          <c:extLst>
            <c:ext xmlns:c16="http://schemas.microsoft.com/office/drawing/2014/chart" uri="{C3380CC4-5D6E-409C-BE32-E72D297353CC}">
              <c16:uniqueId val="{0000000D-8304-6040-97FB-0E6E25199E6C}"/>
            </c:ext>
          </c:extLst>
        </c:ser>
        <c:ser>
          <c:idx val="14"/>
          <c:order val="14"/>
          <c:spPr>
            <a:solidFill>
              <a:schemeClr val="accent1">
                <a:tint val="86000"/>
              </a:schemeClr>
            </a:solidFill>
            <a:ln>
              <a:noFill/>
            </a:ln>
            <a:effectLst/>
          </c:spPr>
          <c:invertIfNegative val="0"/>
          <c:cat>
            <c:strRef>
              <c:f>'Latent Load and Setpoint'!$D$7:$D$11</c:f>
              <c:strCache>
                <c:ptCount val="5"/>
                <c:pt idx="0">
                  <c:v>Initial Stage (7 days)</c:v>
                </c:pt>
                <c:pt idx="1">
                  <c:v>Early Stage (7 days)</c:v>
                </c:pt>
                <c:pt idx="2">
                  <c:v>Mid Stage (35 days)</c:v>
                </c:pt>
                <c:pt idx="3">
                  <c:v>Late Stage (14 days)</c:v>
                </c:pt>
                <c:pt idx="4">
                  <c:v>Crop Rotation (4 days)</c:v>
                </c:pt>
              </c:strCache>
            </c:strRef>
          </c:cat>
          <c:val>
            <c:numRef>
              <c:f>'Latent Load and Setpoint'!$S$7:$S$11</c:f>
              <c:numCache>
                <c:formatCode>0</c:formatCode>
                <c:ptCount val="5"/>
                <c:pt idx="0">
                  <c:v>50</c:v>
                </c:pt>
                <c:pt idx="1">
                  <c:v>80</c:v>
                </c:pt>
                <c:pt idx="2">
                  <c:v>100</c:v>
                </c:pt>
                <c:pt idx="3">
                  <c:v>90</c:v>
                </c:pt>
                <c:pt idx="4">
                  <c:v>0</c:v>
                </c:pt>
              </c:numCache>
            </c:numRef>
          </c:val>
          <c:extLst>
            <c:ext xmlns:c16="http://schemas.microsoft.com/office/drawing/2014/chart" uri="{C3380CC4-5D6E-409C-BE32-E72D297353CC}">
              <c16:uniqueId val="{0000000E-8304-6040-97FB-0E6E25199E6C}"/>
            </c:ext>
          </c:extLst>
        </c:ser>
        <c:ser>
          <c:idx val="15"/>
          <c:order val="15"/>
          <c:spPr>
            <a:solidFill>
              <a:schemeClr val="accent1">
                <a:tint val="81000"/>
              </a:schemeClr>
            </a:solidFill>
            <a:ln>
              <a:noFill/>
            </a:ln>
            <a:effectLst/>
          </c:spPr>
          <c:invertIfNegative val="0"/>
          <c:cat>
            <c:strRef>
              <c:f>'Latent Load and Setpoint'!$D$7:$D$11</c:f>
              <c:strCache>
                <c:ptCount val="5"/>
                <c:pt idx="0">
                  <c:v>Initial Stage (7 days)</c:v>
                </c:pt>
                <c:pt idx="1">
                  <c:v>Early Stage (7 days)</c:v>
                </c:pt>
                <c:pt idx="2">
                  <c:v>Mid Stage (35 days)</c:v>
                </c:pt>
                <c:pt idx="3">
                  <c:v>Late Stage (14 days)</c:v>
                </c:pt>
                <c:pt idx="4">
                  <c:v>Crop Rotation (4 days)</c:v>
                </c:pt>
              </c:strCache>
            </c:strRef>
          </c:cat>
          <c:val>
            <c:numRef>
              <c:f>'Latent Load and Setpoint'!$T$7:$T$11</c:f>
              <c:numCache>
                <c:formatCode>0</c:formatCode>
                <c:ptCount val="5"/>
                <c:pt idx="0">
                  <c:v>50</c:v>
                </c:pt>
                <c:pt idx="1">
                  <c:v>80</c:v>
                </c:pt>
                <c:pt idx="2">
                  <c:v>100</c:v>
                </c:pt>
                <c:pt idx="3">
                  <c:v>90</c:v>
                </c:pt>
                <c:pt idx="4">
                  <c:v>0</c:v>
                </c:pt>
              </c:numCache>
            </c:numRef>
          </c:val>
          <c:extLst>
            <c:ext xmlns:c16="http://schemas.microsoft.com/office/drawing/2014/chart" uri="{C3380CC4-5D6E-409C-BE32-E72D297353CC}">
              <c16:uniqueId val="{0000000F-8304-6040-97FB-0E6E25199E6C}"/>
            </c:ext>
          </c:extLst>
        </c:ser>
        <c:ser>
          <c:idx val="16"/>
          <c:order val="16"/>
          <c:spPr>
            <a:solidFill>
              <a:schemeClr val="accent1">
                <a:tint val="75000"/>
              </a:schemeClr>
            </a:solidFill>
            <a:ln>
              <a:noFill/>
            </a:ln>
            <a:effectLst/>
          </c:spPr>
          <c:invertIfNegative val="0"/>
          <c:cat>
            <c:strRef>
              <c:f>'Latent Load and Setpoint'!$D$7:$D$11</c:f>
              <c:strCache>
                <c:ptCount val="5"/>
                <c:pt idx="0">
                  <c:v>Initial Stage (7 days)</c:v>
                </c:pt>
                <c:pt idx="1">
                  <c:v>Early Stage (7 days)</c:v>
                </c:pt>
                <c:pt idx="2">
                  <c:v>Mid Stage (35 days)</c:v>
                </c:pt>
                <c:pt idx="3">
                  <c:v>Late Stage (14 days)</c:v>
                </c:pt>
                <c:pt idx="4">
                  <c:v>Crop Rotation (4 days)</c:v>
                </c:pt>
              </c:strCache>
            </c:strRef>
          </c:cat>
          <c:val>
            <c:numRef>
              <c:f>'Latent Load and Setpoint'!$U$7:$U$11</c:f>
              <c:numCache>
                <c:formatCode>0</c:formatCode>
                <c:ptCount val="5"/>
                <c:pt idx="0">
                  <c:v>50</c:v>
                </c:pt>
                <c:pt idx="1">
                  <c:v>80</c:v>
                </c:pt>
                <c:pt idx="2">
                  <c:v>100</c:v>
                </c:pt>
                <c:pt idx="3">
                  <c:v>90</c:v>
                </c:pt>
                <c:pt idx="4">
                  <c:v>0</c:v>
                </c:pt>
              </c:numCache>
            </c:numRef>
          </c:val>
          <c:extLst>
            <c:ext xmlns:c16="http://schemas.microsoft.com/office/drawing/2014/chart" uri="{C3380CC4-5D6E-409C-BE32-E72D297353CC}">
              <c16:uniqueId val="{00000010-8304-6040-97FB-0E6E25199E6C}"/>
            </c:ext>
          </c:extLst>
        </c:ser>
        <c:ser>
          <c:idx val="17"/>
          <c:order val="17"/>
          <c:spPr>
            <a:solidFill>
              <a:schemeClr val="accent1">
                <a:tint val="70000"/>
              </a:schemeClr>
            </a:solidFill>
            <a:ln>
              <a:noFill/>
            </a:ln>
            <a:effectLst/>
          </c:spPr>
          <c:invertIfNegative val="0"/>
          <c:cat>
            <c:strRef>
              <c:f>'Latent Load and Setpoint'!$D$7:$D$11</c:f>
              <c:strCache>
                <c:ptCount val="5"/>
                <c:pt idx="0">
                  <c:v>Initial Stage (7 days)</c:v>
                </c:pt>
                <c:pt idx="1">
                  <c:v>Early Stage (7 days)</c:v>
                </c:pt>
                <c:pt idx="2">
                  <c:v>Mid Stage (35 days)</c:v>
                </c:pt>
                <c:pt idx="3">
                  <c:v>Late Stage (14 days)</c:v>
                </c:pt>
                <c:pt idx="4">
                  <c:v>Crop Rotation (4 days)</c:v>
                </c:pt>
              </c:strCache>
            </c:strRef>
          </c:cat>
          <c:val>
            <c:numRef>
              <c:f>'Latent Load and Setpoint'!$V$7:$V$11</c:f>
              <c:numCache>
                <c:formatCode>0</c:formatCode>
                <c:ptCount val="5"/>
                <c:pt idx="0">
                  <c:v>50</c:v>
                </c:pt>
                <c:pt idx="1">
                  <c:v>80</c:v>
                </c:pt>
                <c:pt idx="2">
                  <c:v>100</c:v>
                </c:pt>
                <c:pt idx="3">
                  <c:v>90</c:v>
                </c:pt>
                <c:pt idx="4">
                  <c:v>0</c:v>
                </c:pt>
              </c:numCache>
            </c:numRef>
          </c:val>
          <c:extLst>
            <c:ext xmlns:c16="http://schemas.microsoft.com/office/drawing/2014/chart" uri="{C3380CC4-5D6E-409C-BE32-E72D297353CC}">
              <c16:uniqueId val="{00000011-8304-6040-97FB-0E6E25199E6C}"/>
            </c:ext>
          </c:extLst>
        </c:ser>
        <c:ser>
          <c:idx val="18"/>
          <c:order val="18"/>
          <c:spPr>
            <a:solidFill>
              <a:schemeClr val="accent1">
                <a:tint val="64000"/>
              </a:schemeClr>
            </a:solidFill>
            <a:ln>
              <a:noFill/>
            </a:ln>
            <a:effectLst/>
          </c:spPr>
          <c:invertIfNegative val="0"/>
          <c:cat>
            <c:strRef>
              <c:f>'Latent Load and Setpoint'!$D$7:$D$11</c:f>
              <c:strCache>
                <c:ptCount val="5"/>
                <c:pt idx="0">
                  <c:v>Initial Stage (7 days)</c:v>
                </c:pt>
                <c:pt idx="1">
                  <c:v>Early Stage (7 days)</c:v>
                </c:pt>
                <c:pt idx="2">
                  <c:v>Mid Stage (35 days)</c:v>
                </c:pt>
                <c:pt idx="3">
                  <c:v>Late Stage (14 days)</c:v>
                </c:pt>
                <c:pt idx="4">
                  <c:v>Crop Rotation (4 days)</c:v>
                </c:pt>
              </c:strCache>
            </c:strRef>
          </c:cat>
          <c:val>
            <c:numRef>
              <c:f>'Latent Load and Setpoint'!$W$7:$W$11</c:f>
              <c:numCache>
                <c:formatCode>0</c:formatCode>
                <c:ptCount val="5"/>
                <c:pt idx="0">
                  <c:v>35</c:v>
                </c:pt>
                <c:pt idx="1">
                  <c:v>60</c:v>
                </c:pt>
                <c:pt idx="2">
                  <c:v>75</c:v>
                </c:pt>
                <c:pt idx="3">
                  <c:v>70</c:v>
                </c:pt>
                <c:pt idx="4">
                  <c:v>0</c:v>
                </c:pt>
              </c:numCache>
            </c:numRef>
          </c:val>
          <c:extLst>
            <c:ext xmlns:c16="http://schemas.microsoft.com/office/drawing/2014/chart" uri="{C3380CC4-5D6E-409C-BE32-E72D297353CC}">
              <c16:uniqueId val="{00000012-8304-6040-97FB-0E6E25199E6C}"/>
            </c:ext>
          </c:extLst>
        </c:ser>
        <c:ser>
          <c:idx val="19"/>
          <c:order val="19"/>
          <c:spPr>
            <a:solidFill>
              <a:schemeClr val="accent1">
                <a:tint val="58000"/>
              </a:schemeClr>
            </a:solidFill>
            <a:ln>
              <a:noFill/>
            </a:ln>
            <a:effectLst/>
          </c:spPr>
          <c:invertIfNegative val="0"/>
          <c:cat>
            <c:strRef>
              <c:f>'Latent Load and Setpoint'!$D$7:$D$11</c:f>
              <c:strCache>
                <c:ptCount val="5"/>
                <c:pt idx="0">
                  <c:v>Initial Stage (7 days)</c:v>
                </c:pt>
                <c:pt idx="1">
                  <c:v>Early Stage (7 days)</c:v>
                </c:pt>
                <c:pt idx="2">
                  <c:v>Mid Stage (35 days)</c:v>
                </c:pt>
                <c:pt idx="3">
                  <c:v>Late Stage (14 days)</c:v>
                </c:pt>
                <c:pt idx="4">
                  <c:v>Crop Rotation (4 days)</c:v>
                </c:pt>
              </c:strCache>
            </c:strRef>
          </c:cat>
          <c:val>
            <c:numRef>
              <c:f>'Latent Load and Setpoint'!$X$7:$X$11</c:f>
              <c:numCache>
                <c:formatCode>0</c:formatCode>
                <c:ptCount val="5"/>
                <c:pt idx="0">
                  <c:v>25</c:v>
                </c:pt>
                <c:pt idx="1">
                  <c:v>43</c:v>
                </c:pt>
                <c:pt idx="2">
                  <c:v>54</c:v>
                </c:pt>
                <c:pt idx="3">
                  <c:v>55</c:v>
                </c:pt>
                <c:pt idx="4">
                  <c:v>0</c:v>
                </c:pt>
              </c:numCache>
            </c:numRef>
          </c:val>
          <c:extLst>
            <c:ext xmlns:c16="http://schemas.microsoft.com/office/drawing/2014/chart" uri="{C3380CC4-5D6E-409C-BE32-E72D297353CC}">
              <c16:uniqueId val="{00000013-8304-6040-97FB-0E6E25199E6C}"/>
            </c:ext>
          </c:extLst>
        </c:ser>
        <c:ser>
          <c:idx val="20"/>
          <c:order val="20"/>
          <c:spPr>
            <a:solidFill>
              <a:schemeClr val="accent1">
                <a:tint val="53000"/>
              </a:schemeClr>
            </a:solidFill>
            <a:ln>
              <a:noFill/>
            </a:ln>
            <a:effectLst/>
          </c:spPr>
          <c:invertIfNegative val="0"/>
          <c:cat>
            <c:strRef>
              <c:f>'Latent Load and Setpoint'!$D$7:$D$11</c:f>
              <c:strCache>
                <c:ptCount val="5"/>
                <c:pt idx="0">
                  <c:v>Initial Stage (7 days)</c:v>
                </c:pt>
                <c:pt idx="1">
                  <c:v>Early Stage (7 days)</c:v>
                </c:pt>
                <c:pt idx="2">
                  <c:v>Mid Stage (35 days)</c:v>
                </c:pt>
                <c:pt idx="3">
                  <c:v>Late Stage (14 days)</c:v>
                </c:pt>
                <c:pt idx="4">
                  <c:v>Crop Rotation (4 days)</c:v>
                </c:pt>
              </c:strCache>
            </c:strRef>
          </c:cat>
          <c:val>
            <c:numRef>
              <c:f>'Latent Load and Setpoint'!$Y$7:$Y$11</c:f>
              <c:numCache>
                <c:formatCode>0</c:formatCode>
                <c:ptCount val="5"/>
                <c:pt idx="0">
                  <c:v>20</c:v>
                </c:pt>
                <c:pt idx="1">
                  <c:v>34</c:v>
                </c:pt>
                <c:pt idx="2">
                  <c:v>41</c:v>
                </c:pt>
                <c:pt idx="3">
                  <c:v>40</c:v>
                </c:pt>
                <c:pt idx="4">
                  <c:v>0</c:v>
                </c:pt>
              </c:numCache>
            </c:numRef>
          </c:val>
          <c:extLst>
            <c:ext xmlns:c16="http://schemas.microsoft.com/office/drawing/2014/chart" uri="{C3380CC4-5D6E-409C-BE32-E72D297353CC}">
              <c16:uniqueId val="{00000014-8304-6040-97FB-0E6E25199E6C}"/>
            </c:ext>
          </c:extLst>
        </c:ser>
        <c:ser>
          <c:idx val="21"/>
          <c:order val="21"/>
          <c:spPr>
            <a:solidFill>
              <a:schemeClr val="accent1">
                <a:tint val="47000"/>
              </a:schemeClr>
            </a:solidFill>
            <a:ln>
              <a:noFill/>
            </a:ln>
            <a:effectLst/>
          </c:spPr>
          <c:invertIfNegative val="0"/>
          <c:cat>
            <c:strRef>
              <c:f>'Latent Load and Setpoint'!$D$7:$D$11</c:f>
              <c:strCache>
                <c:ptCount val="5"/>
                <c:pt idx="0">
                  <c:v>Initial Stage (7 days)</c:v>
                </c:pt>
                <c:pt idx="1">
                  <c:v>Early Stage (7 days)</c:v>
                </c:pt>
                <c:pt idx="2">
                  <c:v>Mid Stage (35 days)</c:v>
                </c:pt>
                <c:pt idx="3">
                  <c:v>Late Stage (14 days)</c:v>
                </c:pt>
                <c:pt idx="4">
                  <c:v>Crop Rotation (4 days)</c:v>
                </c:pt>
              </c:strCache>
            </c:strRef>
          </c:cat>
          <c:val>
            <c:numRef>
              <c:f>'Latent Load and Setpoint'!$Z$7:$Z$11</c:f>
              <c:numCache>
                <c:formatCode>0</c:formatCode>
                <c:ptCount val="5"/>
                <c:pt idx="0">
                  <c:v>18</c:v>
                </c:pt>
                <c:pt idx="1">
                  <c:v>26</c:v>
                </c:pt>
                <c:pt idx="2">
                  <c:v>31</c:v>
                </c:pt>
                <c:pt idx="3">
                  <c:v>35</c:v>
                </c:pt>
                <c:pt idx="4">
                  <c:v>0</c:v>
                </c:pt>
              </c:numCache>
            </c:numRef>
          </c:val>
          <c:extLst>
            <c:ext xmlns:c16="http://schemas.microsoft.com/office/drawing/2014/chart" uri="{C3380CC4-5D6E-409C-BE32-E72D297353CC}">
              <c16:uniqueId val="{00000015-8304-6040-97FB-0E6E25199E6C}"/>
            </c:ext>
          </c:extLst>
        </c:ser>
        <c:ser>
          <c:idx val="22"/>
          <c:order val="22"/>
          <c:spPr>
            <a:solidFill>
              <a:schemeClr val="accent1">
                <a:tint val="42000"/>
              </a:schemeClr>
            </a:solidFill>
            <a:ln>
              <a:noFill/>
            </a:ln>
            <a:effectLst/>
          </c:spPr>
          <c:invertIfNegative val="0"/>
          <c:cat>
            <c:strRef>
              <c:f>'Latent Load and Setpoint'!$D$7:$D$11</c:f>
              <c:strCache>
                <c:ptCount val="5"/>
                <c:pt idx="0">
                  <c:v>Initial Stage (7 days)</c:v>
                </c:pt>
                <c:pt idx="1">
                  <c:v>Early Stage (7 days)</c:v>
                </c:pt>
                <c:pt idx="2">
                  <c:v>Mid Stage (35 days)</c:v>
                </c:pt>
                <c:pt idx="3">
                  <c:v>Late Stage (14 days)</c:v>
                </c:pt>
                <c:pt idx="4">
                  <c:v>Crop Rotation (4 days)</c:v>
                </c:pt>
              </c:strCache>
            </c:strRef>
          </c:cat>
          <c:val>
            <c:numRef>
              <c:f>'Latent Load and Setpoint'!$AA$7:$AA$11</c:f>
              <c:numCache>
                <c:formatCode>0</c:formatCode>
                <c:ptCount val="5"/>
                <c:pt idx="0">
                  <c:v>16</c:v>
                </c:pt>
                <c:pt idx="1">
                  <c:v>22</c:v>
                </c:pt>
                <c:pt idx="2">
                  <c:v>26</c:v>
                </c:pt>
                <c:pt idx="3">
                  <c:v>30</c:v>
                </c:pt>
                <c:pt idx="4">
                  <c:v>0</c:v>
                </c:pt>
              </c:numCache>
            </c:numRef>
          </c:val>
          <c:extLst>
            <c:ext xmlns:c16="http://schemas.microsoft.com/office/drawing/2014/chart" uri="{C3380CC4-5D6E-409C-BE32-E72D297353CC}">
              <c16:uniqueId val="{00000016-8304-6040-97FB-0E6E25199E6C}"/>
            </c:ext>
          </c:extLst>
        </c:ser>
        <c:ser>
          <c:idx val="23"/>
          <c:order val="23"/>
          <c:spPr>
            <a:solidFill>
              <a:schemeClr val="accent1">
                <a:tint val="36000"/>
              </a:schemeClr>
            </a:solidFill>
            <a:ln>
              <a:noFill/>
            </a:ln>
            <a:effectLst/>
          </c:spPr>
          <c:invertIfNegative val="0"/>
          <c:cat>
            <c:strRef>
              <c:f>'Latent Load and Setpoint'!$D$7:$D$11</c:f>
              <c:strCache>
                <c:ptCount val="5"/>
                <c:pt idx="0">
                  <c:v>Initial Stage (7 days)</c:v>
                </c:pt>
                <c:pt idx="1">
                  <c:v>Early Stage (7 days)</c:v>
                </c:pt>
                <c:pt idx="2">
                  <c:v>Mid Stage (35 days)</c:v>
                </c:pt>
                <c:pt idx="3">
                  <c:v>Late Stage (14 days)</c:v>
                </c:pt>
                <c:pt idx="4">
                  <c:v>Crop Rotation (4 days)</c:v>
                </c:pt>
              </c:strCache>
            </c:strRef>
          </c:cat>
          <c:val>
            <c:numRef>
              <c:f>'Latent Load and Setpoint'!$AB$7:$AB$11</c:f>
              <c:numCache>
                <c:formatCode>0</c:formatCode>
                <c:ptCount val="5"/>
                <c:pt idx="0">
                  <c:v>14</c:v>
                </c:pt>
                <c:pt idx="1">
                  <c:v>18</c:v>
                </c:pt>
                <c:pt idx="2">
                  <c:v>21</c:v>
                </c:pt>
                <c:pt idx="3">
                  <c:v>28</c:v>
                </c:pt>
                <c:pt idx="4">
                  <c:v>0</c:v>
                </c:pt>
              </c:numCache>
            </c:numRef>
          </c:val>
          <c:extLst>
            <c:ext xmlns:c16="http://schemas.microsoft.com/office/drawing/2014/chart" uri="{C3380CC4-5D6E-409C-BE32-E72D297353CC}">
              <c16:uniqueId val="{00000017-8304-6040-97FB-0E6E25199E6C}"/>
            </c:ext>
          </c:extLst>
        </c:ser>
        <c:dLbls>
          <c:showLegendKey val="0"/>
          <c:showVal val="0"/>
          <c:showCatName val="0"/>
          <c:showSerName val="0"/>
          <c:showPercent val="0"/>
          <c:showBubbleSize val="0"/>
        </c:dLbls>
        <c:gapWidth val="150"/>
        <c:axId val="2054854960"/>
        <c:axId val="2054840560"/>
      </c:barChart>
      <c:catAx>
        <c:axId val="2054854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Hour of Day</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4840560"/>
        <c:crosses val="autoZero"/>
        <c:auto val="1"/>
        <c:lblAlgn val="ctr"/>
        <c:lblOffset val="100"/>
        <c:noMultiLvlLbl val="0"/>
      </c:catAx>
      <c:valAx>
        <c:axId val="20548405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Evapotranspiration Schedule (% of peak)</a:t>
                </a:r>
              </a:p>
            </c:rich>
          </c:tx>
          <c:layout>
            <c:manualLayout>
              <c:xMode val="edge"/>
              <c:yMode val="edge"/>
              <c:x val="2.1471470456055877E-2"/>
              <c:y val="0.2007083333333333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4854960"/>
        <c:crosses val="autoZero"/>
        <c:crossBetween val="between"/>
      </c:valAx>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Flower Cooling Setpoint  Schedule</a:t>
            </a:r>
            <a:r>
              <a:rPr lang="en-US" baseline="0"/>
              <a:t>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spPr>
            <a:solidFill>
              <a:schemeClr val="accent1">
                <a:shade val="41000"/>
              </a:schemeClr>
            </a:solidFill>
            <a:ln>
              <a:noFill/>
            </a:ln>
            <a:effectLst/>
          </c:spPr>
          <c:invertIfNegative val="0"/>
          <c:cat>
            <c:strRef>
              <c:f>'Latent Load and Setpoint'!$D$12:$D$15</c:f>
              <c:strCache>
                <c:ptCount val="4"/>
                <c:pt idx="0">
                  <c:v>Initial &amp; Early Stages (14 days)</c:v>
                </c:pt>
                <c:pt idx="1">
                  <c:v>Mid Stage (35 days)</c:v>
                </c:pt>
                <c:pt idx="2">
                  <c:v>Late Stage (14 days)</c:v>
                </c:pt>
                <c:pt idx="3">
                  <c:v>Crop Rotation (4 days)</c:v>
                </c:pt>
              </c:strCache>
            </c:strRef>
          </c:cat>
          <c:val>
            <c:numRef>
              <c:f>'Latent Load and Setpoint'!$F$12:$F$15</c:f>
              <c:numCache>
                <c:formatCode>0</c:formatCode>
                <c:ptCount val="4"/>
                <c:pt idx="0">
                  <c:v>79</c:v>
                </c:pt>
                <c:pt idx="1">
                  <c:v>75</c:v>
                </c:pt>
                <c:pt idx="2">
                  <c:v>70</c:v>
                </c:pt>
                <c:pt idx="3">
                  <c:v>75</c:v>
                </c:pt>
              </c:numCache>
            </c:numRef>
          </c:val>
          <c:extLst>
            <c:ext xmlns:c16="http://schemas.microsoft.com/office/drawing/2014/chart" uri="{C3380CC4-5D6E-409C-BE32-E72D297353CC}">
              <c16:uniqueId val="{00000000-DEF7-6C49-9D93-5FA384F75F68}"/>
            </c:ext>
          </c:extLst>
        </c:ser>
        <c:ser>
          <c:idx val="2"/>
          <c:order val="1"/>
          <c:spPr>
            <a:solidFill>
              <a:schemeClr val="accent1">
                <a:shade val="46000"/>
              </a:schemeClr>
            </a:solidFill>
            <a:ln>
              <a:noFill/>
            </a:ln>
            <a:effectLst/>
          </c:spPr>
          <c:invertIfNegative val="0"/>
          <c:cat>
            <c:strRef>
              <c:f>'Latent Load and Setpoint'!$D$12:$D$15</c:f>
              <c:strCache>
                <c:ptCount val="4"/>
                <c:pt idx="0">
                  <c:v>Initial &amp; Early Stages (14 days)</c:v>
                </c:pt>
                <c:pt idx="1">
                  <c:v>Mid Stage (35 days)</c:v>
                </c:pt>
                <c:pt idx="2">
                  <c:v>Late Stage (14 days)</c:v>
                </c:pt>
                <c:pt idx="3">
                  <c:v>Crop Rotation (4 days)</c:v>
                </c:pt>
              </c:strCache>
            </c:strRef>
          </c:cat>
          <c:val>
            <c:numRef>
              <c:f>'Latent Load and Setpoint'!$G$12:$G$15</c:f>
              <c:numCache>
                <c:formatCode>0</c:formatCode>
                <c:ptCount val="4"/>
                <c:pt idx="0">
                  <c:v>79</c:v>
                </c:pt>
                <c:pt idx="1">
                  <c:v>75</c:v>
                </c:pt>
                <c:pt idx="2">
                  <c:v>70</c:v>
                </c:pt>
                <c:pt idx="3">
                  <c:v>75</c:v>
                </c:pt>
              </c:numCache>
            </c:numRef>
          </c:val>
          <c:extLst>
            <c:ext xmlns:c16="http://schemas.microsoft.com/office/drawing/2014/chart" uri="{C3380CC4-5D6E-409C-BE32-E72D297353CC}">
              <c16:uniqueId val="{00000001-DEF7-6C49-9D93-5FA384F75F68}"/>
            </c:ext>
          </c:extLst>
        </c:ser>
        <c:ser>
          <c:idx val="3"/>
          <c:order val="2"/>
          <c:spPr>
            <a:solidFill>
              <a:schemeClr val="accent1">
                <a:shade val="52000"/>
              </a:schemeClr>
            </a:solidFill>
            <a:ln>
              <a:noFill/>
            </a:ln>
            <a:effectLst/>
          </c:spPr>
          <c:invertIfNegative val="0"/>
          <c:cat>
            <c:strRef>
              <c:f>'Latent Load and Setpoint'!$D$12:$D$15</c:f>
              <c:strCache>
                <c:ptCount val="4"/>
                <c:pt idx="0">
                  <c:v>Initial &amp; Early Stages (14 days)</c:v>
                </c:pt>
                <c:pt idx="1">
                  <c:v>Mid Stage (35 days)</c:v>
                </c:pt>
                <c:pt idx="2">
                  <c:v>Late Stage (14 days)</c:v>
                </c:pt>
                <c:pt idx="3">
                  <c:v>Crop Rotation (4 days)</c:v>
                </c:pt>
              </c:strCache>
            </c:strRef>
          </c:cat>
          <c:val>
            <c:numRef>
              <c:f>'Latent Load and Setpoint'!$H$12:$H$15</c:f>
              <c:numCache>
                <c:formatCode>0</c:formatCode>
                <c:ptCount val="4"/>
                <c:pt idx="0">
                  <c:v>79</c:v>
                </c:pt>
                <c:pt idx="1">
                  <c:v>75</c:v>
                </c:pt>
                <c:pt idx="2">
                  <c:v>70</c:v>
                </c:pt>
                <c:pt idx="3">
                  <c:v>75</c:v>
                </c:pt>
              </c:numCache>
            </c:numRef>
          </c:val>
          <c:extLst>
            <c:ext xmlns:c16="http://schemas.microsoft.com/office/drawing/2014/chart" uri="{C3380CC4-5D6E-409C-BE32-E72D297353CC}">
              <c16:uniqueId val="{00000002-DEF7-6C49-9D93-5FA384F75F68}"/>
            </c:ext>
          </c:extLst>
        </c:ser>
        <c:ser>
          <c:idx val="4"/>
          <c:order val="3"/>
          <c:spPr>
            <a:solidFill>
              <a:schemeClr val="accent1">
                <a:shade val="58000"/>
              </a:schemeClr>
            </a:solidFill>
            <a:ln>
              <a:noFill/>
            </a:ln>
            <a:effectLst/>
          </c:spPr>
          <c:invertIfNegative val="0"/>
          <c:cat>
            <c:strRef>
              <c:f>'Latent Load and Setpoint'!$D$12:$D$15</c:f>
              <c:strCache>
                <c:ptCount val="4"/>
                <c:pt idx="0">
                  <c:v>Initial &amp; Early Stages (14 days)</c:v>
                </c:pt>
                <c:pt idx="1">
                  <c:v>Mid Stage (35 days)</c:v>
                </c:pt>
                <c:pt idx="2">
                  <c:v>Late Stage (14 days)</c:v>
                </c:pt>
                <c:pt idx="3">
                  <c:v>Crop Rotation (4 days)</c:v>
                </c:pt>
              </c:strCache>
            </c:strRef>
          </c:cat>
          <c:val>
            <c:numRef>
              <c:f>'Latent Load and Setpoint'!$I$12:$I$15</c:f>
              <c:numCache>
                <c:formatCode>0</c:formatCode>
                <c:ptCount val="4"/>
                <c:pt idx="0">
                  <c:v>79</c:v>
                </c:pt>
                <c:pt idx="1">
                  <c:v>75</c:v>
                </c:pt>
                <c:pt idx="2">
                  <c:v>70</c:v>
                </c:pt>
                <c:pt idx="3">
                  <c:v>75</c:v>
                </c:pt>
              </c:numCache>
            </c:numRef>
          </c:val>
          <c:extLst>
            <c:ext xmlns:c16="http://schemas.microsoft.com/office/drawing/2014/chart" uri="{C3380CC4-5D6E-409C-BE32-E72D297353CC}">
              <c16:uniqueId val="{00000003-DEF7-6C49-9D93-5FA384F75F68}"/>
            </c:ext>
          </c:extLst>
        </c:ser>
        <c:ser>
          <c:idx val="5"/>
          <c:order val="4"/>
          <c:spPr>
            <a:solidFill>
              <a:schemeClr val="accent1">
                <a:shade val="63000"/>
              </a:schemeClr>
            </a:solidFill>
            <a:ln>
              <a:noFill/>
            </a:ln>
            <a:effectLst/>
          </c:spPr>
          <c:invertIfNegative val="0"/>
          <c:cat>
            <c:strRef>
              <c:f>'Latent Load and Setpoint'!$D$12:$D$15</c:f>
              <c:strCache>
                <c:ptCount val="4"/>
                <c:pt idx="0">
                  <c:v>Initial &amp; Early Stages (14 days)</c:v>
                </c:pt>
                <c:pt idx="1">
                  <c:v>Mid Stage (35 days)</c:v>
                </c:pt>
                <c:pt idx="2">
                  <c:v>Late Stage (14 days)</c:v>
                </c:pt>
                <c:pt idx="3">
                  <c:v>Crop Rotation (4 days)</c:v>
                </c:pt>
              </c:strCache>
            </c:strRef>
          </c:cat>
          <c:val>
            <c:numRef>
              <c:f>'Latent Load and Setpoint'!$J$12:$J$15</c:f>
              <c:numCache>
                <c:formatCode>0</c:formatCode>
                <c:ptCount val="4"/>
                <c:pt idx="0">
                  <c:v>79</c:v>
                </c:pt>
                <c:pt idx="1">
                  <c:v>75</c:v>
                </c:pt>
                <c:pt idx="2">
                  <c:v>70</c:v>
                </c:pt>
                <c:pt idx="3">
                  <c:v>75</c:v>
                </c:pt>
              </c:numCache>
            </c:numRef>
          </c:val>
          <c:extLst>
            <c:ext xmlns:c16="http://schemas.microsoft.com/office/drawing/2014/chart" uri="{C3380CC4-5D6E-409C-BE32-E72D297353CC}">
              <c16:uniqueId val="{00000004-DEF7-6C49-9D93-5FA384F75F68}"/>
            </c:ext>
          </c:extLst>
        </c:ser>
        <c:ser>
          <c:idx val="0"/>
          <c:order val="5"/>
          <c:spPr>
            <a:solidFill>
              <a:schemeClr val="accent1">
                <a:shade val="35000"/>
              </a:schemeClr>
            </a:solidFill>
            <a:ln>
              <a:noFill/>
            </a:ln>
            <a:effectLst/>
          </c:spPr>
          <c:invertIfNegative val="0"/>
          <c:cat>
            <c:strRef>
              <c:f>'Latent Load and Setpoint'!$D$12:$D$15</c:f>
              <c:strCache>
                <c:ptCount val="4"/>
                <c:pt idx="0">
                  <c:v>Initial &amp; Early Stages (14 days)</c:v>
                </c:pt>
                <c:pt idx="1">
                  <c:v>Mid Stage (35 days)</c:v>
                </c:pt>
                <c:pt idx="2">
                  <c:v>Late Stage (14 days)</c:v>
                </c:pt>
                <c:pt idx="3">
                  <c:v>Crop Rotation (4 days)</c:v>
                </c:pt>
              </c:strCache>
            </c:strRef>
          </c:cat>
          <c:val>
            <c:numRef>
              <c:f>'Latent Load and Setpoint'!$E$12:$E$15</c:f>
              <c:numCache>
                <c:formatCode>0</c:formatCode>
                <c:ptCount val="4"/>
                <c:pt idx="0">
                  <c:v>79</c:v>
                </c:pt>
                <c:pt idx="1">
                  <c:v>75</c:v>
                </c:pt>
                <c:pt idx="2">
                  <c:v>70</c:v>
                </c:pt>
                <c:pt idx="3">
                  <c:v>75</c:v>
                </c:pt>
              </c:numCache>
            </c:numRef>
          </c:val>
          <c:extLst>
            <c:ext xmlns:c16="http://schemas.microsoft.com/office/drawing/2014/chart" uri="{C3380CC4-5D6E-409C-BE32-E72D297353CC}">
              <c16:uniqueId val="{00000005-DEF7-6C49-9D93-5FA384F75F68}"/>
            </c:ext>
          </c:extLst>
        </c:ser>
        <c:ser>
          <c:idx val="6"/>
          <c:order val="6"/>
          <c:spPr>
            <a:solidFill>
              <a:schemeClr val="accent1">
                <a:shade val="69000"/>
              </a:schemeClr>
            </a:solidFill>
            <a:ln>
              <a:noFill/>
            </a:ln>
            <a:effectLst/>
          </c:spPr>
          <c:invertIfNegative val="0"/>
          <c:cat>
            <c:strRef>
              <c:f>'Latent Load and Setpoint'!$D$12:$D$15</c:f>
              <c:strCache>
                <c:ptCount val="4"/>
                <c:pt idx="0">
                  <c:v>Initial &amp; Early Stages (14 days)</c:v>
                </c:pt>
                <c:pt idx="1">
                  <c:v>Mid Stage (35 days)</c:v>
                </c:pt>
                <c:pt idx="2">
                  <c:v>Late Stage (14 days)</c:v>
                </c:pt>
                <c:pt idx="3">
                  <c:v>Crop Rotation (4 days)</c:v>
                </c:pt>
              </c:strCache>
            </c:strRef>
          </c:cat>
          <c:val>
            <c:numRef>
              <c:f>'Latent Load and Setpoint'!$K$12:$K$15</c:f>
              <c:numCache>
                <c:formatCode>0</c:formatCode>
                <c:ptCount val="4"/>
                <c:pt idx="0">
                  <c:v>82</c:v>
                </c:pt>
                <c:pt idx="1">
                  <c:v>79</c:v>
                </c:pt>
                <c:pt idx="2">
                  <c:v>73</c:v>
                </c:pt>
                <c:pt idx="3">
                  <c:v>75</c:v>
                </c:pt>
              </c:numCache>
            </c:numRef>
          </c:val>
          <c:extLst>
            <c:ext xmlns:c16="http://schemas.microsoft.com/office/drawing/2014/chart" uri="{C3380CC4-5D6E-409C-BE32-E72D297353CC}">
              <c16:uniqueId val="{00000006-DEF7-6C49-9D93-5FA384F75F68}"/>
            </c:ext>
          </c:extLst>
        </c:ser>
        <c:ser>
          <c:idx val="7"/>
          <c:order val="7"/>
          <c:spPr>
            <a:solidFill>
              <a:schemeClr val="accent1">
                <a:shade val="74000"/>
              </a:schemeClr>
            </a:solidFill>
            <a:ln>
              <a:noFill/>
            </a:ln>
            <a:effectLst/>
          </c:spPr>
          <c:invertIfNegative val="0"/>
          <c:cat>
            <c:strRef>
              <c:f>'Latent Load and Setpoint'!$D$12:$D$15</c:f>
              <c:strCache>
                <c:ptCount val="4"/>
                <c:pt idx="0">
                  <c:v>Initial &amp; Early Stages (14 days)</c:v>
                </c:pt>
                <c:pt idx="1">
                  <c:v>Mid Stage (35 days)</c:v>
                </c:pt>
                <c:pt idx="2">
                  <c:v>Late Stage (14 days)</c:v>
                </c:pt>
                <c:pt idx="3">
                  <c:v>Crop Rotation (4 days)</c:v>
                </c:pt>
              </c:strCache>
            </c:strRef>
          </c:cat>
          <c:val>
            <c:numRef>
              <c:f>'Latent Load and Setpoint'!$L$12:$L$15</c:f>
              <c:numCache>
                <c:formatCode>0</c:formatCode>
                <c:ptCount val="4"/>
                <c:pt idx="0">
                  <c:v>82</c:v>
                </c:pt>
                <c:pt idx="1">
                  <c:v>79</c:v>
                </c:pt>
                <c:pt idx="2">
                  <c:v>73</c:v>
                </c:pt>
                <c:pt idx="3">
                  <c:v>75</c:v>
                </c:pt>
              </c:numCache>
            </c:numRef>
          </c:val>
          <c:extLst>
            <c:ext xmlns:c16="http://schemas.microsoft.com/office/drawing/2014/chart" uri="{C3380CC4-5D6E-409C-BE32-E72D297353CC}">
              <c16:uniqueId val="{00000007-DEF7-6C49-9D93-5FA384F75F68}"/>
            </c:ext>
          </c:extLst>
        </c:ser>
        <c:ser>
          <c:idx val="8"/>
          <c:order val="8"/>
          <c:spPr>
            <a:solidFill>
              <a:schemeClr val="accent1">
                <a:shade val="80000"/>
              </a:schemeClr>
            </a:solidFill>
            <a:ln>
              <a:noFill/>
            </a:ln>
            <a:effectLst/>
          </c:spPr>
          <c:invertIfNegative val="0"/>
          <c:cat>
            <c:strRef>
              <c:f>'Latent Load and Setpoint'!$D$12:$D$15</c:f>
              <c:strCache>
                <c:ptCount val="4"/>
                <c:pt idx="0">
                  <c:v>Initial &amp; Early Stages (14 days)</c:v>
                </c:pt>
                <c:pt idx="1">
                  <c:v>Mid Stage (35 days)</c:v>
                </c:pt>
                <c:pt idx="2">
                  <c:v>Late Stage (14 days)</c:v>
                </c:pt>
                <c:pt idx="3">
                  <c:v>Crop Rotation (4 days)</c:v>
                </c:pt>
              </c:strCache>
            </c:strRef>
          </c:cat>
          <c:val>
            <c:numRef>
              <c:f>'Latent Load and Setpoint'!$M$12:$M$15</c:f>
              <c:numCache>
                <c:formatCode>0</c:formatCode>
                <c:ptCount val="4"/>
                <c:pt idx="0">
                  <c:v>82</c:v>
                </c:pt>
                <c:pt idx="1">
                  <c:v>79</c:v>
                </c:pt>
                <c:pt idx="2">
                  <c:v>73</c:v>
                </c:pt>
                <c:pt idx="3">
                  <c:v>75</c:v>
                </c:pt>
              </c:numCache>
            </c:numRef>
          </c:val>
          <c:extLst>
            <c:ext xmlns:c16="http://schemas.microsoft.com/office/drawing/2014/chart" uri="{C3380CC4-5D6E-409C-BE32-E72D297353CC}">
              <c16:uniqueId val="{00000008-DEF7-6C49-9D93-5FA384F75F68}"/>
            </c:ext>
          </c:extLst>
        </c:ser>
        <c:ser>
          <c:idx val="9"/>
          <c:order val="9"/>
          <c:spPr>
            <a:solidFill>
              <a:schemeClr val="accent1">
                <a:shade val="86000"/>
              </a:schemeClr>
            </a:solidFill>
            <a:ln>
              <a:noFill/>
            </a:ln>
            <a:effectLst/>
          </c:spPr>
          <c:invertIfNegative val="0"/>
          <c:cat>
            <c:strRef>
              <c:f>'Latent Load and Setpoint'!$D$12:$D$15</c:f>
              <c:strCache>
                <c:ptCount val="4"/>
                <c:pt idx="0">
                  <c:v>Initial &amp; Early Stages (14 days)</c:v>
                </c:pt>
                <c:pt idx="1">
                  <c:v>Mid Stage (35 days)</c:v>
                </c:pt>
                <c:pt idx="2">
                  <c:v>Late Stage (14 days)</c:v>
                </c:pt>
                <c:pt idx="3">
                  <c:v>Crop Rotation (4 days)</c:v>
                </c:pt>
              </c:strCache>
            </c:strRef>
          </c:cat>
          <c:val>
            <c:numRef>
              <c:f>'Latent Load and Setpoint'!$N$12:$N$15</c:f>
              <c:numCache>
                <c:formatCode>0</c:formatCode>
                <c:ptCount val="4"/>
                <c:pt idx="0">
                  <c:v>82</c:v>
                </c:pt>
                <c:pt idx="1">
                  <c:v>79</c:v>
                </c:pt>
                <c:pt idx="2">
                  <c:v>73</c:v>
                </c:pt>
                <c:pt idx="3">
                  <c:v>75</c:v>
                </c:pt>
              </c:numCache>
            </c:numRef>
          </c:val>
          <c:extLst>
            <c:ext xmlns:c16="http://schemas.microsoft.com/office/drawing/2014/chart" uri="{C3380CC4-5D6E-409C-BE32-E72D297353CC}">
              <c16:uniqueId val="{00000009-DEF7-6C49-9D93-5FA384F75F68}"/>
            </c:ext>
          </c:extLst>
        </c:ser>
        <c:ser>
          <c:idx val="10"/>
          <c:order val="10"/>
          <c:spPr>
            <a:solidFill>
              <a:schemeClr val="accent1">
                <a:shade val="91000"/>
              </a:schemeClr>
            </a:solidFill>
            <a:ln>
              <a:noFill/>
            </a:ln>
            <a:effectLst/>
          </c:spPr>
          <c:invertIfNegative val="0"/>
          <c:cat>
            <c:strRef>
              <c:f>'Latent Load and Setpoint'!$D$12:$D$15</c:f>
              <c:strCache>
                <c:ptCount val="4"/>
                <c:pt idx="0">
                  <c:v>Initial &amp; Early Stages (14 days)</c:v>
                </c:pt>
                <c:pt idx="1">
                  <c:v>Mid Stage (35 days)</c:v>
                </c:pt>
                <c:pt idx="2">
                  <c:v>Late Stage (14 days)</c:v>
                </c:pt>
                <c:pt idx="3">
                  <c:v>Crop Rotation (4 days)</c:v>
                </c:pt>
              </c:strCache>
            </c:strRef>
          </c:cat>
          <c:val>
            <c:numRef>
              <c:f>'Latent Load and Setpoint'!$O$12:$O$15</c:f>
              <c:numCache>
                <c:formatCode>0</c:formatCode>
                <c:ptCount val="4"/>
                <c:pt idx="0">
                  <c:v>82</c:v>
                </c:pt>
                <c:pt idx="1">
                  <c:v>79</c:v>
                </c:pt>
                <c:pt idx="2">
                  <c:v>73</c:v>
                </c:pt>
                <c:pt idx="3">
                  <c:v>75</c:v>
                </c:pt>
              </c:numCache>
            </c:numRef>
          </c:val>
          <c:extLst>
            <c:ext xmlns:c16="http://schemas.microsoft.com/office/drawing/2014/chart" uri="{C3380CC4-5D6E-409C-BE32-E72D297353CC}">
              <c16:uniqueId val="{0000000A-DEF7-6C49-9D93-5FA384F75F68}"/>
            </c:ext>
          </c:extLst>
        </c:ser>
        <c:ser>
          <c:idx val="11"/>
          <c:order val="11"/>
          <c:spPr>
            <a:solidFill>
              <a:schemeClr val="accent1">
                <a:shade val="97000"/>
              </a:schemeClr>
            </a:solidFill>
            <a:ln>
              <a:noFill/>
            </a:ln>
            <a:effectLst/>
          </c:spPr>
          <c:invertIfNegative val="0"/>
          <c:cat>
            <c:strRef>
              <c:f>'Latent Load and Setpoint'!$D$12:$D$15</c:f>
              <c:strCache>
                <c:ptCount val="4"/>
                <c:pt idx="0">
                  <c:v>Initial &amp; Early Stages (14 days)</c:v>
                </c:pt>
                <c:pt idx="1">
                  <c:v>Mid Stage (35 days)</c:v>
                </c:pt>
                <c:pt idx="2">
                  <c:v>Late Stage (14 days)</c:v>
                </c:pt>
                <c:pt idx="3">
                  <c:v>Crop Rotation (4 days)</c:v>
                </c:pt>
              </c:strCache>
            </c:strRef>
          </c:cat>
          <c:val>
            <c:numRef>
              <c:f>'Latent Load and Setpoint'!$P$12:$P$15</c:f>
              <c:numCache>
                <c:formatCode>0</c:formatCode>
                <c:ptCount val="4"/>
                <c:pt idx="0">
                  <c:v>82</c:v>
                </c:pt>
                <c:pt idx="1">
                  <c:v>79</c:v>
                </c:pt>
                <c:pt idx="2">
                  <c:v>73</c:v>
                </c:pt>
                <c:pt idx="3">
                  <c:v>75</c:v>
                </c:pt>
              </c:numCache>
            </c:numRef>
          </c:val>
          <c:extLst>
            <c:ext xmlns:c16="http://schemas.microsoft.com/office/drawing/2014/chart" uri="{C3380CC4-5D6E-409C-BE32-E72D297353CC}">
              <c16:uniqueId val="{0000000B-DEF7-6C49-9D93-5FA384F75F68}"/>
            </c:ext>
          </c:extLst>
        </c:ser>
        <c:ser>
          <c:idx val="12"/>
          <c:order val="12"/>
          <c:spPr>
            <a:solidFill>
              <a:schemeClr val="accent1">
                <a:tint val="98000"/>
              </a:schemeClr>
            </a:solidFill>
            <a:ln>
              <a:noFill/>
            </a:ln>
            <a:effectLst/>
          </c:spPr>
          <c:invertIfNegative val="0"/>
          <c:cat>
            <c:strRef>
              <c:f>'Latent Load and Setpoint'!$D$12:$D$15</c:f>
              <c:strCache>
                <c:ptCount val="4"/>
                <c:pt idx="0">
                  <c:v>Initial &amp; Early Stages (14 days)</c:v>
                </c:pt>
                <c:pt idx="1">
                  <c:v>Mid Stage (35 days)</c:v>
                </c:pt>
                <c:pt idx="2">
                  <c:v>Late Stage (14 days)</c:v>
                </c:pt>
                <c:pt idx="3">
                  <c:v>Crop Rotation (4 days)</c:v>
                </c:pt>
              </c:strCache>
            </c:strRef>
          </c:cat>
          <c:val>
            <c:numRef>
              <c:f>'Latent Load and Setpoint'!$Q$12:$Q$15</c:f>
              <c:numCache>
                <c:formatCode>0</c:formatCode>
                <c:ptCount val="4"/>
                <c:pt idx="0">
                  <c:v>82</c:v>
                </c:pt>
                <c:pt idx="1">
                  <c:v>79</c:v>
                </c:pt>
                <c:pt idx="2">
                  <c:v>73</c:v>
                </c:pt>
                <c:pt idx="3">
                  <c:v>75</c:v>
                </c:pt>
              </c:numCache>
            </c:numRef>
          </c:val>
          <c:extLst>
            <c:ext xmlns:c16="http://schemas.microsoft.com/office/drawing/2014/chart" uri="{C3380CC4-5D6E-409C-BE32-E72D297353CC}">
              <c16:uniqueId val="{0000000C-DEF7-6C49-9D93-5FA384F75F68}"/>
            </c:ext>
          </c:extLst>
        </c:ser>
        <c:ser>
          <c:idx val="13"/>
          <c:order val="13"/>
          <c:spPr>
            <a:solidFill>
              <a:schemeClr val="accent1">
                <a:tint val="92000"/>
              </a:schemeClr>
            </a:solidFill>
            <a:ln>
              <a:noFill/>
            </a:ln>
            <a:effectLst/>
          </c:spPr>
          <c:invertIfNegative val="0"/>
          <c:cat>
            <c:strRef>
              <c:f>'Latent Load and Setpoint'!$D$12:$D$15</c:f>
              <c:strCache>
                <c:ptCount val="4"/>
                <c:pt idx="0">
                  <c:v>Initial &amp; Early Stages (14 days)</c:v>
                </c:pt>
                <c:pt idx="1">
                  <c:v>Mid Stage (35 days)</c:v>
                </c:pt>
                <c:pt idx="2">
                  <c:v>Late Stage (14 days)</c:v>
                </c:pt>
                <c:pt idx="3">
                  <c:v>Crop Rotation (4 days)</c:v>
                </c:pt>
              </c:strCache>
            </c:strRef>
          </c:cat>
          <c:val>
            <c:numRef>
              <c:f>'Latent Load and Setpoint'!$R$12:$R$15</c:f>
              <c:numCache>
                <c:formatCode>0</c:formatCode>
                <c:ptCount val="4"/>
                <c:pt idx="0">
                  <c:v>82</c:v>
                </c:pt>
                <c:pt idx="1">
                  <c:v>79</c:v>
                </c:pt>
                <c:pt idx="2">
                  <c:v>73</c:v>
                </c:pt>
                <c:pt idx="3">
                  <c:v>75</c:v>
                </c:pt>
              </c:numCache>
            </c:numRef>
          </c:val>
          <c:extLst>
            <c:ext xmlns:c16="http://schemas.microsoft.com/office/drawing/2014/chart" uri="{C3380CC4-5D6E-409C-BE32-E72D297353CC}">
              <c16:uniqueId val="{0000000D-DEF7-6C49-9D93-5FA384F75F68}"/>
            </c:ext>
          </c:extLst>
        </c:ser>
        <c:ser>
          <c:idx val="14"/>
          <c:order val="14"/>
          <c:spPr>
            <a:solidFill>
              <a:schemeClr val="accent1">
                <a:tint val="86000"/>
              </a:schemeClr>
            </a:solidFill>
            <a:ln>
              <a:noFill/>
            </a:ln>
            <a:effectLst/>
          </c:spPr>
          <c:invertIfNegative val="0"/>
          <c:cat>
            <c:strRef>
              <c:f>'Latent Load and Setpoint'!$D$12:$D$15</c:f>
              <c:strCache>
                <c:ptCount val="4"/>
                <c:pt idx="0">
                  <c:v>Initial &amp; Early Stages (14 days)</c:v>
                </c:pt>
                <c:pt idx="1">
                  <c:v>Mid Stage (35 days)</c:v>
                </c:pt>
                <c:pt idx="2">
                  <c:v>Late Stage (14 days)</c:v>
                </c:pt>
                <c:pt idx="3">
                  <c:v>Crop Rotation (4 days)</c:v>
                </c:pt>
              </c:strCache>
            </c:strRef>
          </c:cat>
          <c:val>
            <c:numRef>
              <c:f>'Latent Load and Setpoint'!$S$12:$S$15</c:f>
              <c:numCache>
                <c:formatCode>0</c:formatCode>
                <c:ptCount val="4"/>
                <c:pt idx="0">
                  <c:v>82</c:v>
                </c:pt>
                <c:pt idx="1">
                  <c:v>79</c:v>
                </c:pt>
                <c:pt idx="2">
                  <c:v>73</c:v>
                </c:pt>
                <c:pt idx="3">
                  <c:v>75</c:v>
                </c:pt>
              </c:numCache>
            </c:numRef>
          </c:val>
          <c:extLst>
            <c:ext xmlns:c16="http://schemas.microsoft.com/office/drawing/2014/chart" uri="{C3380CC4-5D6E-409C-BE32-E72D297353CC}">
              <c16:uniqueId val="{0000000E-DEF7-6C49-9D93-5FA384F75F68}"/>
            </c:ext>
          </c:extLst>
        </c:ser>
        <c:ser>
          <c:idx val="15"/>
          <c:order val="15"/>
          <c:spPr>
            <a:solidFill>
              <a:schemeClr val="accent1">
                <a:tint val="81000"/>
              </a:schemeClr>
            </a:solidFill>
            <a:ln>
              <a:noFill/>
            </a:ln>
            <a:effectLst/>
          </c:spPr>
          <c:invertIfNegative val="0"/>
          <c:cat>
            <c:strRef>
              <c:f>'Latent Load and Setpoint'!$D$12:$D$15</c:f>
              <c:strCache>
                <c:ptCount val="4"/>
                <c:pt idx="0">
                  <c:v>Initial &amp; Early Stages (14 days)</c:v>
                </c:pt>
                <c:pt idx="1">
                  <c:v>Mid Stage (35 days)</c:v>
                </c:pt>
                <c:pt idx="2">
                  <c:v>Late Stage (14 days)</c:v>
                </c:pt>
                <c:pt idx="3">
                  <c:v>Crop Rotation (4 days)</c:v>
                </c:pt>
              </c:strCache>
            </c:strRef>
          </c:cat>
          <c:val>
            <c:numRef>
              <c:f>'Latent Load and Setpoint'!$T$12:$T$15</c:f>
              <c:numCache>
                <c:formatCode>0</c:formatCode>
                <c:ptCount val="4"/>
                <c:pt idx="0">
                  <c:v>82</c:v>
                </c:pt>
                <c:pt idx="1">
                  <c:v>79</c:v>
                </c:pt>
                <c:pt idx="2">
                  <c:v>73</c:v>
                </c:pt>
                <c:pt idx="3">
                  <c:v>75</c:v>
                </c:pt>
              </c:numCache>
            </c:numRef>
          </c:val>
          <c:extLst>
            <c:ext xmlns:c16="http://schemas.microsoft.com/office/drawing/2014/chart" uri="{C3380CC4-5D6E-409C-BE32-E72D297353CC}">
              <c16:uniqueId val="{0000000F-DEF7-6C49-9D93-5FA384F75F68}"/>
            </c:ext>
          </c:extLst>
        </c:ser>
        <c:ser>
          <c:idx val="16"/>
          <c:order val="16"/>
          <c:spPr>
            <a:solidFill>
              <a:schemeClr val="accent1">
                <a:tint val="75000"/>
              </a:schemeClr>
            </a:solidFill>
            <a:ln>
              <a:noFill/>
            </a:ln>
            <a:effectLst/>
          </c:spPr>
          <c:invertIfNegative val="0"/>
          <c:cat>
            <c:strRef>
              <c:f>'Latent Load and Setpoint'!$D$12:$D$15</c:f>
              <c:strCache>
                <c:ptCount val="4"/>
                <c:pt idx="0">
                  <c:v>Initial &amp; Early Stages (14 days)</c:v>
                </c:pt>
                <c:pt idx="1">
                  <c:v>Mid Stage (35 days)</c:v>
                </c:pt>
                <c:pt idx="2">
                  <c:v>Late Stage (14 days)</c:v>
                </c:pt>
                <c:pt idx="3">
                  <c:v>Crop Rotation (4 days)</c:v>
                </c:pt>
              </c:strCache>
            </c:strRef>
          </c:cat>
          <c:val>
            <c:numRef>
              <c:f>'Latent Load and Setpoint'!$U$12:$U$15</c:f>
              <c:numCache>
                <c:formatCode>0</c:formatCode>
                <c:ptCount val="4"/>
                <c:pt idx="0">
                  <c:v>82</c:v>
                </c:pt>
                <c:pt idx="1">
                  <c:v>79</c:v>
                </c:pt>
                <c:pt idx="2">
                  <c:v>73</c:v>
                </c:pt>
                <c:pt idx="3">
                  <c:v>75</c:v>
                </c:pt>
              </c:numCache>
            </c:numRef>
          </c:val>
          <c:extLst>
            <c:ext xmlns:c16="http://schemas.microsoft.com/office/drawing/2014/chart" uri="{C3380CC4-5D6E-409C-BE32-E72D297353CC}">
              <c16:uniqueId val="{00000010-DEF7-6C49-9D93-5FA384F75F68}"/>
            </c:ext>
          </c:extLst>
        </c:ser>
        <c:ser>
          <c:idx val="17"/>
          <c:order val="17"/>
          <c:spPr>
            <a:solidFill>
              <a:schemeClr val="accent1">
                <a:tint val="70000"/>
              </a:schemeClr>
            </a:solidFill>
            <a:ln>
              <a:noFill/>
            </a:ln>
            <a:effectLst/>
          </c:spPr>
          <c:invertIfNegative val="0"/>
          <c:cat>
            <c:strRef>
              <c:f>'Latent Load and Setpoint'!$D$12:$D$15</c:f>
              <c:strCache>
                <c:ptCount val="4"/>
                <c:pt idx="0">
                  <c:v>Initial &amp; Early Stages (14 days)</c:v>
                </c:pt>
                <c:pt idx="1">
                  <c:v>Mid Stage (35 days)</c:v>
                </c:pt>
                <c:pt idx="2">
                  <c:v>Late Stage (14 days)</c:v>
                </c:pt>
                <c:pt idx="3">
                  <c:v>Crop Rotation (4 days)</c:v>
                </c:pt>
              </c:strCache>
            </c:strRef>
          </c:cat>
          <c:val>
            <c:numRef>
              <c:f>'Latent Load and Setpoint'!$V$12:$V$15</c:f>
              <c:numCache>
                <c:formatCode>0</c:formatCode>
                <c:ptCount val="4"/>
                <c:pt idx="0">
                  <c:v>82</c:v>
                </c:pt>
                <c:pt idx="1">
                  <c:v>79</c:v>
                </c:pt>
                <c:pt idx="2">
                  <c:v>73</c:v>
                </c:pt>
                <c:pt idx="3">
                  <c:v>75</c:v>
                </c:pt>
              </c:numCache>
            </c:numRef>
          </c:val>
          <c:extLst>
            <c:ext xmlns:c16="http://schemas.microsoft.com/office/drawing/2014/chart" uri="{C3380CC4-5D6E-409C-BE32-E72D297353CC}">
              <c16:uniqueId val="{00000011-DEF7-6C49-9D93-5FA384F75F68}"/>
            </c:ext>
          </c:extLst>
        </c:ser>
        <c:ser>
          <c:idx val="18"/>
          <c:order val="18"/>
          <c:spPr>
            <a:solidFill>
              <a:schemeClr val="accent1">
                <a:tint val="64000"/>
              </a:schemeClr>
            </a:solidFill>
            <a:ln>
              <a:noFill/>
            </a:ln>
            <a:effectLst/>
          </c:spPr>
          <c:invertIfNegative val="0"/>
          <c:cat>
            <c:strRef>
              <c:f>'Latent Load and Setpoint'!$D$12:$D$15</c:f>
              <c:strCache>
                <c:ptCount val="4"/>
                <c:pt idx="0">
                  <c:v>Initial &amp; Early Stages (14 days)</c:v>
                </c:pt>
                <c:pt idx="1">
                  <c:v>Mid Stage (35 days)</c:v>
                </c:pt>
                <c:pt idx="2">
                  <c:v>Late Stage (14 days)</c:v>
                </c:pt>
                <c:pt idx="3">
                  <c:v>Crop Rotation (4 days)</c:v>
                </c:pt>
              </c:strCache>
            </c:strRef>
          </c:cat>
          <c:val>
            <c:numRef>
              <c:f>'Latent Load and Setpoint'!$W$12:$W$15</c:f>
              <c:numCache>
                <c:formatCode>0</c:formatCode>
                <c:ptCount val="4"/>
                <c:pt idx="0">
                  <c:v>79</c:v>
                </c:pt>
                <c:pt idx="1">
                  <c:v>75</c:v>
                </c:pt>
                <c:pt idx="2">
                  <c:v>70</c:v>
                </c:pt>
                <c:pt idx="3">
                  <c:v>75</c:v>
                </c:pt>
              </c:numCache>
            </c:numRef>
          </c:val>
          <c:extLst>
            <c:ext xmlns:c16="http://schemas.microsoft.com/office/drawing/2014/chart" uri="{C3380CC4-5D6E-409C-BE32-E72D297353CC}">
              <c16:uniqueId val="{00000012-DEF7-6C49-9D93-5FA384F75F68}"/>
            </c:ext>
          </c:extLst>
        </c:ser>
        <c:ser>
          <c:idx val="19"/>
          <c:order val="19"/>
          <c:spPr>
            <a:solidFill>
              <a:schemeClr val="accent1">
                <a:tint val="58000"/>
              </a:schemeClr>
            </a:solidFill>
            <a:ln>
              <a:noFill/>
            </a:ln>
            <a:effectLst/>
          </c:spPr>
          <c:invertIfNegative val="0"/>
          <c:cat>
            <c:strRef>
              <c:f>'Latent Load and Setpoint'!$D$12:$D$15</c:f>
              <c:strCache>
                <c:ptCount val="4"/>
                <c:pt idx="0">
                  <c:v>Initial &amp; Early Stages (14 days)</c:v>
                </c:pt>
                <c:pt idx="1">
                  <c:v>Mid Stage (35 days)</c:v>
                </c:pt>
                <c:pt idx="2">
                  <c:v>Late Stage (14 days)</c:v>
                </c:pt>
                <c:pt idx="3">
                  <c:v>Crop Rotation (4 days)</c:v>
                </c:pt>
              </c:strCache>
            </c:strRef>
          </c:cat>
          <c:val>
            <c:numRef>
              <c:f>'Latent Load and Setpoint'!$X$12:$X$15</c:f>
              <c:numCache>
                <c:formatCode>0</c:formatCode>
                <c:ptCount val="4"/>
                <c:pt idx="0">
                  <c:v>79</c:v>
                </c:pt>
                <c:pt idx="1">
                  <c:v>75</c:v>
                </c:pt>
                <c:pt idx="2">
                  <c:v>70</c:v>
                </c:pt>
                <c:pt idx="3">
                  <c:v>75</c:v>
                </c:pt>
              </c:numCache>
            </c:numRef>
          </c:val>
          <c:extLst>
            <c:ext xmlns:c16="http://schemas.microsoft.com/office/drawing/2014/chart" uri="{C3380CC4-5D6E-409C-BE32-E72D297353CC}">
              <c16:uniqueId val="{00000013-DEF7-6C49-9D93-5FA384F75F68}"/>
            </c:ext>
          </c:extLst>
        </c:ser>
        <c:ser>
          <c:idx val="20"/>
          <c:order val="20"/>
          <c:spPr>
            <a:solidFill>
              <a:schemeClr val="accent1">
                <a:tint val="53000"/>
              </a:schemeClr>
            </a:solidFill>
            <a:ln>
              <a:noFill/>
            </a:ln>
            <a:effectLst/>
          </c:spPr>
          <c:invertIfNegative val="0"/>
          <c:cat>
            <c:strRef>
              <c:f>'Latent Load and Setpoint'!$D$12:$D$15</c:f>
              <c:strCache>
                <c:ptCount val="4"/>
                <c:pt idx="0">
                  <c:v>Initial &amp; Early Stages (14 days)</c:v>
                </c:pt>
                <c:pt idx="1">
                  <c:v>Mid Stage (35 days)</c:v>
                </c:pt>
                <c:pt idx="2">
                  <c:v>Late Stage (14 days)</c:v>
                </c:pt>
                <c:pt idx="3">
                  <c:v>Crop Rotation (4 days)</c:v>
                </c:pt>
              </c:strCache>
            </c:strRef>
          </c:cat>
          <c:val>
            <c:numRef>
              <c:f>'Latent Load and Setpoint'!$Y$12:$Y$15</c:f>
              <c:numCache>
                <c:formatCode>0</c:formatCode>
                <c:ptCount val="4"/>
                <c:pt idx="0">
                  <c:v>79</c:v>
                </c:pt>
                <c:pt idx="1">
                  <c:v>75</c:v>
                </c:pt>
                <c:pt idx="2">
                  <c:v>70</c:v>
                </c:pt>
                <c:pt idx="3">
                  <c:v>75</c:v>
                </c:pt>
              </c:numCache>
            </c:numRef>
          </c:val>
          <c:extLst>
            <c:ext xmlns:c16="http://schemas.microsoft.com/office/drawing/2014/chart" uri="{C3380CC4-5D6E-409C-BE32-E72D297353CC}">
              <c16:uniqueId val="{00000014-DEF7-6C49-9D93-5FA384F75F68}"/>
            </c:ext>
          </c:extLst>
        </c:ser>
        <c:ser>
          <c:idx val="21"/>
          <c:order val="21"/>
          <c:spPr>
            <a:solidFill>
              <a:schemeClr val="accent1">
                <a:tint val="47000"/>
              </a:schemeClr>
            </a:solidFill>
            <a:ln>
              <a:noFill/>
            </a:ln>
            <a:effectLst/>
          </c:spPr>
          <c:invertIfNegative val="0"/>
          <c:cat>
            <c:strRef>
              <c:f>'Latent Load and Setpoint'!$D$12:$D$15</c:f>
              <c:strCache>
                <c:ptCount val="4"/>
                <c:pt idx="0">
                  <c:v>Initial &amp; Early Stages (14 days)</c:v>
                </c:pt>
                <c:pt idx="1">
                  <c:v>Mid Stage (35 days)</c:v>
                </c:pt>
                <c:pt idx="2">
                  <c:v>Late Stage (14 days)</c:v>
                </c:pt>
                <c:pt idx="3">
                  <c:v>Crop Rotation (4 days)</c:v>
                </c:pt>
              </c:strCache>
            </c:strRef>
          </c:cat>
          <c:val>
            <c:numRef>
              <c:f>'Latent Load and Setpoint'!$Z$12:$Z$15</c:f>
              <c:numCache>
                <c:formatCode>0</c:formatCode>
                <c:ptCount val="4"/>
                <c:pt idx="0">
                  <c:v>79</c:v>
                </c:pt>
                <c:pt idx="1">
                  <c:v>75</c:v>
                </c:pt>
                <c:pt idx="2">
                  <c:v>70</c:v>
                </c:pt>
                <c:pt idx="3">
                  <c:v>75</c:v>
                </c:pt>
              </c:numCache>
            </c:numRef>
          </c:val>
          <c:extLst>
            <c:ext xmlns:c16="http://schemas.microsoft.com/office/drawing/2014/chart" uri="{C3380CC4-5D6E-409C-BE32-E72D297353CC}">
              <c16:uniqueId val="{00000015-DEF7-6C49-9D93-5FA384F75F68}"/>
            </c:ext>
          </c:extLst>
        </c:ser>
        <c:ser>
          <c:idx val="22"/>
          <c:order val="22"/>
          <c:spPr>
            <a:solidFill>
              <a:schemeClr val="accent1">
                <a:tint val="42000"/>
              </a:schemeClr>
            </a:solidFill>
            <a:ln>
              <a:noFill/>
            </a:ln>
            <a:effectLst/>
          </c:spPr>
          <c:invertIfNegative val="0"/>
          <c:cat>
            <c:strRef>
              <c:f>'Latent Load and Setpoint'!$D$12:$D$15</c:f>
              <c:strCache>
                <c:ptCount val="4"/>
                <c:pt idx="0">
                  <c:v>Initial &amp; Early Stages (14 days)</c:v>
                </c:pt>
                <c:pt idx="1">
                  <c:v>Mid Stage (35 days)</c:v>
                </c:pt>
                <c:pt idx="2">
                  <c:v>Late Stage (14 days)</c:v>
                </c:pt>
                <c:pt idx="3">
                  <c:v>Crop Rotation (4 days)</c:v>
                </c:pt>
              </c:strCache>
            </c:strRef>
          </c:cat>
          <c:val>
            <c:numRef>
              <c:f>'Latent Load and Setpoint'!$AA$12:$AA$15</c:f>
              <c:numCache>
                <c:formatCode>0</c:formatCode>
                <c:ptCount val="4"/>
                <c:pt idx="0">
                  <c:v>79</c:v>
                </c:pt>
                <c:pt idx="1">
                  <c:v>75</c:v>
                </c:pt>
                <c:pt idx="2">
                  <c:v>70</c:v>
                </c:pt>
                <c:pt idx="3">
                  <c:v>75</c:v>
                </c:pt>
              </c:numCache>
            </c:numRef>
          </c:val>
          <c:extLst>
            <c:ext xmlns:c16="http://schemas.microsoft.com/office/drawing/2014/chart" uri="{C3380CC4-5D6E-409C-BE32-E72D297353CC}">
              <c16:uniqueId val="{00000016-DEF7-6C49-9D93-5FA384F75F68}"/>
            </c:ext>
          </c:extLst>
        </c:ser>
        <c:ser>
          <c:idx val="23"/>
          <c:order val="23"/>
          <c:spPr>
            <a:solidFill>
              <a:schemeClr val="accent1">
                <a:tint val="36000"/>
              </a:schemeClr>
            </a:solidFill>
            <a:ln>
              <a:noFill/>
            </a:ln>
            <a:effectLst/>
          </c:spPr>
          <c:invertIfNegative val="0"/>
          <c:cat>
            <c:strRef>
              <c:f>'Latent Load and Setpoint'!$D$12:$D$15</c:f>
              <c:strCache>
                <c:ptCount val="4"/>
                <c:pt idx="0">
                  <c:v>Initial &amp; Early Stages (14 days)</c:v>
                </c:pt>
                <c:pt idx="1">
                  <c:v>Mid Stage (35 days)</c:v>
                </c:pt>
                <c:pt idx="2">
                  <c:v>Late Stage (14 days)</c:v>
                </c:pt>
                <c:pt idx="3">
                  <c:v>Crop Rotation (4 days)</c:v>
                </c:pt>
              </c:strCache>
            </c:strRef>
          </c:cat>
          <c:val>
            <c:numRef>
              <c:f>'Latent Load and Setpoint'!$AB$12:$AB$15</c:f>
              <c:numCache>
                <c:formatCode>0</c:formatCode>
                <c:ptCount val="4"/>
                <c:pt idx="0">
                  <c:v>79</c:v>
                </c:pt>
                <c:pt idx="1">
                  <c:v>75</c:v>
                </c:pt>
                <c:pt idx="2">
                  <c:v>70</c:v>
                </c:pt>
                <c:pt idx="3">
                  <c:v>75</c:v>
                </c:pt>
              </c:numCache>
            </c:numRef>
          </c:val>
          <c:extLst>
            <c:ext xmlns:c16="http://schemas.microsoft.com/office/drawing/2014/chart" uri="{C3380CC4-5D6E-409C-BE32-E72D297353CC}">
              <c16:uniqueId val="{00000017-DEF7-6C49-9D93-5FA384F75F68}"/>
            </c:ext>
          </c:extLst>
        </c:ser>
        <c:dLbls>
          <c:showLegendKey val="0"/>
          <c:showVal val="0"/>
          <c:showCatName val="0"/>
          <c:showSerName val="0"/>
          <c:showPercent val="0"/>
          <c:showBubbleSize val="0"/>
        </c:dLbls>
        <c:gapWidth val="150"/>
        <c:axId val="2054854960"/>
        <c:axId val="2054840560"/>
      </c:barChart>
      <c:catAx>
        <c:axId val="2054854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Hour of Day</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4840560"/>
        <c:crosses val="autoZero"/>
        <c:auto val="1"/>
        <c:lblAlgn val="ctr"/>
        <c:lblOffset val="100"/>
        <c:noMultiLvlLbl val="0"/>
      </c:catAx>
      <c:valAx>
        <c:axId val="20548405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Setpoint Schedule (Cooling, °F)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4854960"/>
        <c:crosses val="autoZero"/>
        <c:crossBetween val="between"/>
      </c:valAx>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Flower Humidity Setpoint</a:t>
            </a:r>
            <a:r>
              <a:rPr lang="en-US" baseline="0"/>
              <a:t>  </a:t>
            </a:r>
            <a:r>
              <a:rPr lang="en-US"/>
              <a:t>Schedule</a:t>
            </a:r>
            <a:r>
              <a:rPr lang="en-US" baseline="0"/>
              <a:t>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spPr>
            <a:solidFill>
              <a:schemeClr val="accent1">
                <a:shade val="41000"/>
              </a:schemeClr>
            </a:solidFill>
            <a:ln>
              <a:noFill/>
            </a:ln>
            <a:effectLst/>
          </c:spPr>
          <c:invertIfNegative val="0"/>
          <c:cat>
            <c:strRef>
              <c:f>'Latent Load and Setpoint'!$D$16:$D$19</c:f>
              <c:strCache>
                <c:ptCount val="4"/>
                <c:pt idx="0">
                  <c:v>Initial &amp; Early Stages (14 days)</c:v>
                </c:pt>
                <c:pt idx="1">
                  <c:v>Mid Stage (35 days)</c:v>
                </c:pt>
                <c:pt idx="2">
                  <c:v>Late Stage (14 days)</c:v>
                </c:pt>
                <c:pt idx="3">
                  <c:v>Crop Rotation (4 days)</c:v>
                </c:pt>
              </c:strCache>
            </c:strRef>
          </c:cat>
          <c:val>
            <c:numRef>
              <c:f>'Latent Load and Setpoint'!$F$16:$F$19</c:f>
              <c:numCache>
                <c:formatCode>0</c:formatCode>
                <c:ptCount val="4"/>
                <c:pt idx="0">
                  <c:v>65</c:v>
                </c:pt>
                <c:pt idx="1">
                  <c:v>54</c:v>
                </c:pt>
                <c:pt idx="2">
                  <c:v>46</c:v>
                </c:pt>
                <c:pt idx="3">
                  <c:v>50</c:v>
                </c:pt>
              </c:numCache>
            </c:numRef>
          </c:val>
          <c:extLst>
            <c:ext xmlns:c16="http://schemas.microsoft.com/office/drawing/2014/chart" uri="{C3380CC4-5D6E-409C-BE32-E72D297353CC}">
              <c16:uniqueId val="{00000000-1EDC-9843-9482-E0623AE643DE}"/>
            </c:ext>
          </c:extLst>
        </c:ser>
        <c:ser>
          <c:idx val="2"/>
          <c:order val="1"/>
          <c:spPr>
            <a:solidFill>
              <a:schemeClr val="accent1">
                <a:shade val="46000"/>
              </a:schemeClr>
            </a:solidFill>
            <a:ln>
              <a:noFill/>
            </a:ln>
            <a:effectLst/>
          </c:spPr>
          <c:invertIfNegative val="0"/>
          <c:cat>
            <c:strRef>
              <c:f>'Latent Load and Setpoint'!$D$16:$D$19</c:f>
              <c:strCache>
                <c:ptCount val="4"/>
                <c:pt idx="0">
                  <c:v>Initial &amp; Early Stages (14 days)</c:v>
                </c:pt>
                <c:pt idx="1">
                  <c:v>Mid Stage (35 days)</c:v>
                </c:pt>
                <c:pt idx="2">
                  <c:v>Late Stage (14 days)</c:v>
                </c:pt>
                <c:pt idx="3">
                  <c:v>Crop Rotation (4 days)</c:v>
                </c:pt>
              </c:strCache>
            </c:strRef>
          </c:cat>
          <c:val>
            <c:numRef>
              <c:f>'Latent Load and Setpoint'!$G$16:$G$19</c:f>
              <c:numCache>
                <c:formatCode>0</c:formatCode>
                <c:ptCount val="4"/>
                <c:pt idx="0">
                  <c:v>65</c:v>
                </c:pt>
                <c:pt idx="1">
                  <c:v>54</c:v>
                </c:pt>
                <c:pt idx="2">
                  <c:v>46</c:v>
                </c:pt>
                <c:pt idx="3">
                  <c:v>50</c:v>
                </c:pt>
              </c:numCache>
            </c:numRef>
          </c:val>
          <c:extLst>
            <c:ext xmlns:c16="http://schemas.microsoft.com/office/drawing/2014/chart" uri="{C3380CC4-5D6E-409C-BE32-E72D297353CC}">
              <c16:uniqueId val="{00000001-1EDC-9843-9482-E0623AE643DE}"/>
            </c:ext>
          </c:extLst>
        </c:ser>
        <c:ser>
          <c:idx val="3"/>
          <c:order val="2"/>
          <c:spPr>
            <a:solidFill>
              <a:schemeClr val="accent1">
                <a:shade val="52000"/>
              </a:schemeClr>
            </a:solidFill>
            <a:ln>
              <a:noFill/>
            </a:ln>
            <a:effectLst/>
          </c:spPr>
          <c:invertIfNegative val="0"/>
          <c:cat>
            <c:strRef>
              <c:f>'Latent Load and Setpoint'!$D$16:$D$19</c:f>
              <c:strCache>
                <c:ptCount val="4"/>
                <c:pt idx="0">
                  <c:v>Initial &amp; Early Stages (14 days)</c:v>
                </c:pt>
                <c:pt idx="1">
                  <c:v>Mid Stage (35 days)</c:v>
                </c:pt>
                <c:pt idx="2">
                  <c:v>Late Stage (14 days)</c:v>
                </c:pt>
                <c:pt idx="3">
                  <c:v>Crop Rotation (4 days)</c:v>
                </c:pt>
              </c:strCache>
            </c:strRef>
          </c:cat>
          <c:val>
            <c:numRef>
              <c:f>'Latent Load and Setpoint'!$H$16:$H$19</c:f>
              <c:numCache>
                <c:formatCode>0</c:formatCode>
                <c:ptCount val="4"/>
                <c:pt idx="0">
                  <c:v>65</c:v>
                </c:pt>
                <c:pt idx="1">
                  <c:v>54</c:v>
                </c:pt>
                <c:pt idx="2">
                  <c:v>46</c:v>
                </c:pt>
                <c:pt idx="3">
                  <c:v>50</c:v>
                </c:pt>
              </c:numCache>
            </c:numRef>
          </c:val>
          <c:extLst>
            <c:ext xmlns:c16="http://schemas.microsoft.com/office/drawing/2014/chart" uri="{C3380CC4-5D6E-409C-BE32-E72D297353CC}">
              <c16:uniqueId val="{00000002-1EDC-9843-9482-E0623AE643DE}"/>
            </c:ext>
          </c:extLst>
        </c:ser>
        <c:ser>
          <c:idx val="4"/>
          <c:order val="3"/>
          <c:spPr>
            <a:solidFill>
              <a:schemeClr val="accent1">
                <a:shade val="58000"/>
              </a:schemeClr>
            </a:solidFill>
            <a:ln>
              <a:noFill/>
            </a:ln>
            <a:effectLst/>
          </c:spPr>
          <c:invertIfNegative val="0"/>
          <c:cat>
            <c:strRef>
              <c:f>'Latent Load and Setpoint'!$D$16:$D$19</c:f>
              <c:strCache>
                <c:ptCount val="4"/>
                <c:pt idx="0">
                  <c:v>Initial &amp; Early Stages (14 days)</c:v>
                </c:pt>
                <c:pt idx="1">
                  <c:v>Mid Stage (35 days)</c:v>
                </c:pt>
                <c:pt idx="2">
                  <c:v>Late Stage (14 days)</c:v>
                </c:pt>
                <c:pt idx="3">
                  <c:v>Crop Rotation (4 days)</c:v>
                </c:pt>
              </c:strCache>
            </c:strRef>
          </c:cat>
          <c:val>
            <c:numRef>
              <c:f>'Latent Load and Setpoint'!$I$16:$I$19</c:f>
              <c:numCache>
                <c:formatCode>0</c:formatCode>
                <c:ptCount val="4"/>
                <c:pt idx="0">
                  <c:v>65</c:v>
                </c:pt>
                <c:pt idx="1">
                  <c:v>54</c:v>
                </c:pt>
                <c:pt idx="2">
                  <c:v>46</c:v>
                </c:pt>
                <c:pt idx="3">
                  <c:v>50</c:v>
                </c:pt>
              </c:numCache>
            </c:numRef>
          </c:val>
          <c:extLst>
            <c:ext xmlns:c16="http://schemas.microsoft.com/office/drawing/2014/chart" uri="{C3380CC4-5D6E-409C-BE32-E72D297353CC}">
              <c16:uniqueId val="{00000003-1EDC-9843-9482-E0623AE643DE}"/>
            </c:ext>
          </c:extLst>
        </c:ser>
        <c:ser>
          <c:idx val="5"/>
          <c:order val="4"/>
          <c:spPr>
            <a:solidFill>
              <a:schemeClr val="accent1">
                <a:shade val="63000"/>
              </a:schemeClr>
            </a:solidFill>
            <a:ln>
              <a:noFill/>
            </a:ln>
            <a:effectLst/>
          </c:spPr>
          <c:invertIfNegative val="0"/>
          <c:cat>
            <c:strRef>
              <c:f>'Latent Load and Setpoint'!$D$16:$D$19</c:f>
              <c:strCache>
                <c:ptCount val="4"/>
                <c:pt idx="0">
                  <c:v>Initial &amp; Early Stages (14 days)</c:v>
                </c:pt>
                <c:pt idx="1">
                  <c:v>Mid Stage (35 days)</c:v>
                </c:pt>
                <c:pt idx="2">
                  <c:v>Late Stage (14 days)</c:v>
                </c:pt>
                <c:pt idx="3">
                  <c:v>Crop Rotation (4 days)</c:v>
                </c:pt>
              </c:strCache>
            </c:strRef>
          </c:cat>
          <c:val>
            <c:numRef>
              <c:f>'Latent Load and Setpoint'!$J$16:$J$19</c:f>
              <c:numCache>
                <c:formatCode>0</c:formatCode>
                <c:ptCount val="4"/>
                <c:pt idx="0">
                  <c:v>65</c:v>
                </c:pt>
                <c:pt idx="1">
                  <c:v>54</c:v>
                </c:pt>
                <c:pt idx="2">
                  <c:v>46</c:v>
                </c:pt>
                <c:pt idx="3">
                  <c:v>50</c:v>
                </c:pt>
              </c:numCache>
            </c:numRef>
          </c:val>
          <c:extLst>
            <c:ext xmlns:c16="http://schemas.microsoft.com/office/drawing/2014/chart" uri="{C3380CC4-5D6E-409C-BE32-E72D297353CC}">
              <c16:uniqueId val="{00000004-1EDC-9843-9482-E0623AE643DE}"/>
            </c:ext>
          </c:extLst>
        </c:ser>
        <c:ser>
          <c:idx val="0"/>
          <c:order val="5"/>
          <c:spPr>
            <a:solidFill>
              <a:schemeClr val="accent1">
                <a:shade val="35000"/>
              </a:schemeClr>
            </a:solidFill>
            <a:ln>
              <a:noFill/>
            </a:ln>
            <a:effectLst/>
          </c:spPr>
          <c:invertIfNegative val="0"/>
          <c:cat>
            <c:strRef>
              <c:f>'Latent Load and Setpoint'!$D$16:$D$19</c:f>
              <c:strCache>
                <c:ptCount val="4"/>
                <c:pt idx="0">
                  <c:v>Initial &amp; Early Stages (14 days)</c:v>
                </c:pt>
                <c:pt idx="1">
                  <c:v>Mid Stage (35 days)</c:v>
                </c:pt>
                <c:pt idx="2">
                  <c:v>Late Stage (14 days)</c:v>
                </c:pt>
                <c:pt idx="3">
                  <c:v>Crop Rotation (4 days)</c:v>
                </c:pt>
              </c:strCache>
            </c:strRef>
          </c:cat>
          <c:val>
            <c:numRef>
              <c:f>'Latent Load and Setpoint'!$E$16:$E$19</c:f>
              <c:numCache>
                <c:formatCode>0</c:formatCode>
                <c:ptCount val="4"/>
                <c:pt idx="0">
                  <c:v>65</c:v>
                </c:pt>
                <c:pt idx="1">
                  <c:v>54</c:v>
                </c:pt>
                <c:pt idx="2">
                  <c:v>46</c:v>
                </c:pt>
                <c:pt idx="3">
                  <c:v>50</c:v>
                </c:pt>
              </c:numCache>
            </c:numRef>
          </c:val>
          <c:extLst>
            <c:ext xmlns:c16="http://schemas.microsoft.com/office/drawing/2014/chart" uri="{C3380CC4-5D6E-409C-BE32-E72D297353CC}">
              <c16:uniqueId val="{00000005-1EDC-9843-9482-E0623AE643DE}"/>
            </c:ext>
          </c:extLst>
        </c:ser>
        <c:ser>
          <c:idx val="6"/>
          <c:order val="6"/>
          <c:spPr>
            <a:solidFill>
              <a:schemeClr val="accent1">
                <a:shade val="69000"/>
              </a:schemeClr>
            </a:solidFill>
            <a:ln>
              <a:noFill/>
            </a:ln>
            <a:effectLst/>
          </c:spPr>
          <c:invertIfNegative val="0"/>
          <c:cat>
            <c:strRef>
              <c:f>'Latent Load and Setpoint'!$D$16:$D$19</c:f>
              <c:strCache>
                <c:ptCount val="4"/>
                <c:pt idx="0">
                  <c:v>Initial &amp; Early Stages (14 days)</c:v>
                </c:pt>
                <c:pt idx="1">
                  <c:v>Mid Stage (35 days)</c:v>
                </c:pt>
                <c:pt idx="2">
                  <c:v>Late Stage (14 days)</c:v>
                </c:pt>
                <c:pt idx="3">
                  <c:v>Crop Rotation (4 days)</c:v>
                </c:pt>
              </c:strCache>
            </c:strRef>
          </c:cat>
          <c:val>
            <c:numRef>
              <c:f>'Latent Load and Setpoint'!$K$16:$K$19</c:f>
              <c:numCache>
                <c:formatCode>0</c:formatCode>
                <c:ptCount val="4"/>
                <c:pt idx="0">
                  <c:v>67</c:v>
                </c:pt>
                <c:pt idx="1">
                  <c:v>57</c:v>
                </c:pt>
                <c:pt idx="2">
                  <c:v>48</c:v>
                </c:pt>
                <c:pt idx="3">
                  <c:v>50</c:v>
                </c:pt>
              </c:numCache>
            </c:numRef>
          </c:val>
          <c:extLst>
            <c:ext xmlns:c16="http://schemas.microsoft.com/office/drawing/2014/chart" uri="{C3380CC4-5D6E-409C-BE32-E72D297353CC}">
              <c16:uniqueId val="{00000006-1EDC-9843-9482-E0623AE643DE}"/>
            </c:ext>
          </c:extLst>
        </c:ser>
        <c:ser>
          <c:idx val="7"/>
          <c:order val="7"/>
          <c:spPr>
            <a:solidFill>
              <a:schemeClr val="accent1">
                <a:shade val="74000"/>
              </a:schemeClr>
            </a:solidFill>
            <a:ln>
              <a:noFill/>
            </a:ln>
            <a:effectLst/>
          </c:spPr>
          <c:invertIfNegative val="0"/>
          <c:cat>
            <c:strRef>
              <c:f>'Latent Load and Setpoint'!$D$16:$D$19</c:f>
              <c:strCache>
                <c:ptCount val="4"/>
                <c:pt idx="0">
                  <c:v>Initial &amp; Early Stages (14 days)</c:v>
                </c:pt>
                <c:pt idx="1">
                  <c:v>Mid Stage (35 days)</c:v>
                </c:pt>
                <c:pt idx="2">
                  <c:v>Late Stage (14 days)</c:v>
                </c:pt>
                <c:pt idx="3">
                  <c:v>Crop Rotation (4 days)</c:v>
                </c:pt>
              </c:strCache>
            </c:strRef>
          </c:cat>
          <c:val>
            <c:numRef>
              <c:f>'Latent Load and Setpoint'!$L$16:$L$19</c:f>
              <c:numCache>
                <c:formatCode>0</c:formatCode>
                <c:ptCount val="4"/>
                <c:pt idx="0">
                  <c:v>67</c:v>
                </c:pt>
                <c:pt idx="1">
                  <c:v>57</c:v>
                </c:pt>
                <c:pt idx="2">
                  <c:v>48</c:v>
                </c:pt>
                <c:pt idx="3">
                  <c:v>50</c:v>
                </c:pt>
              </c:numCache>
            </c:numRef>
          </c:val>
          <c:extLst>
            <c:ext xmlns:c16="http://schemas.microsoft.com/office/drawing/2014/chart" uri="{C3380CC4-5D6E-409C-BE32-E72D297353CC}">
              <c16:uniqueId val="{00000007-1EDC-9843-9482-E0623AE643DE}"/>
            </c:ext>
          </c:extLst>
        </c:ser>
        <c:ser>
          <c:idx val="8"/>
          <c:order val="8"/>
          <c:spPr>
            <a:solidFill>
              <a:schemeClr val="accent1">
                <a:shade val="80000"/>
              </a:schemeClr>
            </a:solidFill>
            <a:ln>
              <a:noFill/>
            </a:ln>
            <a:effectLst/>
          </c:spPr>
          <c:invertIfNegative val="0"/>
          <c:cat>
            <c:strRef>
              <c:f>'Latent Load and Setpoint'!$D$16:$D$19</c:f>
              <c:strCache>
                <c:ptCount val="4"/>
                <c:pt idx="0">
                  <c:v>Initial &amp; Early Stages (14 days)</c:v>
                </c:pt>
                <c:pt idx="1">
                  <c:v>Mid Stage (35 days)</c:v>
                </c:pt>
                <c:pt idx="2">
                  <c:v>Late Stage (14 days)</c:v>
                </c:pt>
                <c:pt idx="3">
                  <c:v>Crop Rotation (4 days)</c:v>
                </c:pt>
              </c:strCache>
            </c:strRef>
          </c:cat>
          <c:val>
            <c:numRef>
              <c:f>'Latent Load and Setpoint'!$M$16:$M$19</c:f>
              <c:numCache>
                <c:formatCode>0</c:formatCode>
                <c:ptCount val="4"/>
                <c:pt idx="0">
                  <c:v>67</c:v>
                </c:pt>
                <c:pt idx="1">
                  <c:v>57</c:v>
                </c:pt>
                <c:pt idx="2">
                  <c:v>48</c:v>
                </c:pt>
                <c:pt idx="3">
                  <c:v>50</c:v>
                </c:pt>
              </c:numCache>
            </c:numRef>
          </c:val>
          <c:extLst>
            <c:ext xmlns:c16="http://schemas.microsoft.com/office/drawing/2014/chart" uri="{C3380CC4-5D6E-409C-BE32-E72D297353CC}">
              <c16:uniqueId val="{00000008-1EDC-9843-9482-E0623AE643DE}"/>
            </c:ext>
          </c:extLst>
        </c:ser>
        <c:ser>
          <c:idx val="9"/>
          <c:order val="9"/>
          <c:spPr>
            <a:solidFill>
              <a:schemeClr val="accent1">
                <a:shade val="86000"/>
              </a:schemeClr>
            </a:solidFill>
            <a:ln>
              <a:noFill/>
            </a:ln>
            <a:effectLst/>
          </c:spPr>
          <c:invertIfNegative val="0"/>
          <c:cat>
            <c:strRef>
              <c:f>'Latent Load and Setpoint'!$D$16:$D$19</c:f>
              <c:strCache>
                <c:ptCount val="4"/>
                <c:pt idx="0">
                  <c:v>Initial &amp; Early Stages (14 days)</c:v>
                </c:pt>
                <c:pt idx="1">
                  <c:v>Mid Stage (35 days)</c:v>
                </c:pt>
                <c:pt idx="2">
                  <c:v>Late Stage (14 days)</c:v>
                </c:pt>
                <c:pt idx="3">
                  <c:v>Crop Rotation (4 days)</c:v>
                </c:pt>
              </c:strCache>
            </c:strRef>
          </c:cat>
          <c:val>
            <c:numRef>
              <c:f>'Latent Load and Setpoint'!$N$16:$N$19</c:f>
              <c:numCache>
                <c:formatCode>0</c:formatCode>
                <c:ptCount val="4"/>
                <c:pt idx="0">
                  <c:v>67</c:v>
                </c:pt>
                <c:pt idx="1">
                  <c:v>57</c:v>
                </c:pt>
                <c:pt idx="2">
                  <c:v>48</c:v>
                </c:pt>
                <c:pt idx="3">
                  <c:v>50</c:v>
                </c:pt>
              </c:numCache>
            </c:numRef>
          </c:val>
          <c:extLst>
            <c:ext xmlns:c16="http://schemas.microsoft.com/office/drawing/2014/chart" uri="{C3380CC4-5D6E-409C-BE32-E72D297353CC}">
              <c16:uniqueId val="{00000009-1EDC-9843-9482-E0623AE643DE}"/>
            </c:ext>
          </c:extLst>
        </c:ser>
        <c:ser>
          <c:idx val="10"/>
          <c:order val="10"/>
          <c:spPr>
            <a:solidFill>
              <a:schemeClr val="accent1">
                <a:shade val="91000"/>
              </a:schemeClr>
            </a:solidFill>
            <a:ln>
              <a:noFill/>
            </a:ln>
            <a:effectLst/>
          </c:spPr>
          <c:invertIfNegative val="0"/>
          <c:cat>
            <c:strRef>
              <c:f>'Latent Load and Setpoint'!$D$16:$D$19</c:f>
              <c:strCache>
                <c:ptCount val="4"/>
                <c:pt idx="0">
                  <c:v>Initial &amp; Early Stages (14 days)</c:v>
                </c:pt>
                <c:pt idx="1">
                  <c:v>Mid Stage (35 days)</c:v>
                </c:pt>
                <c:pt idx="2">
                  <c:v>Late Stage (14 days)</c:v>
                </c:pt>
                <c:pt idx="3">
                  <c:v>Crop Rotation (4 days)</c:v>
                </c:pt>
              </c:strCache>
            </c:strRef>
          </c:cat>
          <c:val>
            <c:numRef>
              <c:f>'Latent Load and Setpoint'!$O$16:$O$19</c:f>
              <c:numCache>
                <c:formatCode>0</c:formatCode>
                <c:ptCount val="4"/>
                <c:pt idx="0">
                  <c:v>67</c:v>
                </c:pt>
                <c:pt idx="1">
                  <c:v>57</c:v>
                </c:pt>
                <c:pt idx="2">
                  <c:v>48</c:v>
                </c:pt>
                <c:pt idx="3">
                  <c:v>50</c:v>
                </c:pt>
              </c:numCache>
            </c:numRef>
          </c:val>
          <c:extLst>
            <c:ext xmlns:c16="http://schemas.microsoft.com/office/drawing/2014/chart" uri="{C3380CC4-5D6E-409C-BE32-E72D297353CC}">
              <c16:uniqueId val="{0000000A-1EDC-9843-9482-E0623AE643DE}"/>
            </c:ext>
          </c:extLst>
        </c:ser>
        <c:ser>
          <c:idx val="11"/>
          <c:order val="11"/>
          <c:spPr>
            <a:solidFill>
              <a:schemeClr val="accent1">
                <a:shade val="97000"/>
              </a:schemeClr>
            </a:solidFill>
            <a:ln>
              <a:noFill/>
            </a:ln>
            <a:effectLst/>
          </c:spPr>
          <c:invertIfNegative val="0"/>
          <c:cat>
            <c:strRef>
              <c:f>'Latent Load and Setpoint'!$D$16:$D$19</c:f>
              <c:strCache>
                <c:ptCount val="4"/>
                <c:pt idx="0">
                  <c:v>Initial &amp; Early Stages (14 days)</c:v>
                </c:pt>
                <c:pt idx="1">
                  <c:v>Mid Stage (35 days)</c:v>
                </c:pt>
                <c:pt idx="2">
                  <c:v>Late Stage (14 days)</c:v>
                </c:pt>
                <c:pt idx="3">
                  <c:v>Crop Rotation (4 days)</c:v>
                </c:pt>
              </c:strCache>
            </c:strRef>
          </c:cat>
          <c:val>
            <c:numRef>
              <c:f>'Latent Load and Setpoint'!$P$16:$P$19</c:f>
              <c:numCache>
                <c:formatCode>0</c:formatCode>
                <c:ptCount val="4"/>
                <c:pt idx="0">
                  <c:v>67</c:v>
                </c:pt>
                <c:pt idx="1">
                  <c:v>57</c:v>
                </c:pt>
                <c:pt idx="2">
                  <c:v>48</c:v>
                </c:pt>
                <c:pt idx="3">
                  <c:v>50</c:v>
                </c:pt>
              </c:numCache>
            </c:numRef>
          </c:val>
          <c:extLst>
            <c:ext xmlns:c16="http://schemas.microsoft.com/office/drawing/2014/chart" uri="{C3380CC4-5D6E-409C-BE32-E72D297353CC}">
              <c16:uniqueId val="{0000000B-1EDC-9843-9482-E0623AE643DE}"/>
            </c:ext>
          </c:extLst>
        </c:ser>
        <c:ser>
          <c:idx val="12"/>
          <c:order val="12"/>
          <c:spPr>
            <a:solidFill>
              <a:schemeClr val="accent1">
                <a:tint val="98000"/>
              </a:schemeClr>
            </a:solidFill>
            <a:ln>
              <a:noFill/>
            </a:ln>
            <a:effectLst/>
          </c:spPr>
          <c:invertIfNegative val="0"/>
          <c:cat>
            <c:strRef>
              <c:f>'Latent Load and Setpoint'!$D$16:$D$19</c:f>
              <c:strCache>
                <c:ptCount val="4"/>
                <c:pt idx="0">
                  <c:v>Initial &amp; Early Stages (14 days)</c:v>
                </c:pt>
                <c:pt idx="1">
                  <c:v>Mid Stage (35 days)</c:v>
                </c:pt>
                <c:pt idx="2">
                  <c:v>Late Stage (14 days)</c:v>
                </c:pt>
                <c:pt idx="3">
                  <c:v>Crop Rotation (4 days)</c:v>
                </c:pt>
              </c:strCache>
            </c:strRef>
          </c:cat>
          <c:val>
            <c:numRef>
              <c:f>'Latent Load and Setpoint'!$Q$16:$Q$19</c:f>
              <c:numCache>
                <c:formatCode>0</c:formatCode>
                <c:ptCount val="4"/>
                <c:pt idx="0">
                  <c:v>67</c:v>
                </c:pt>
                <c:pt idx="1">
                  <c:v>57</c:v>
                </c:pt>
                <c:pt idx="2">
                  <c:v>48</c:v>
                </c:pt>
                <c:pt idx="3">
                  <c:v>50</c:v>
                </c:pt>
              </c:numCache>
            </c:numRef>
          </c:val>
          <c:extLst>
            <c:ext xmlns:c16="http://schemas.microsoft.com/office/drawing/2014/chart" uri="{C3380CC4-5D6E-409C-BE32-E72D297353CC}">
              <c16:uniqueId val="{0000000C-1EDC-9843-9482-E0623AE643DE}"/>
            </c:ext>
          </c:extLst>
        </c:ser>
        <c:ser>
          <c:idx val="13"/>
          <c:order val="13"/>
          <c:spPr>
            <a:solidFill>
              <a:schemeClr val="accent1">
                <a:tint val="92000"/>
              </a:schemeClr>
            </a:solidFill>
            <a:ln>
              <a:noFill/>
            </a:ln>
            <a:effectLst/>
          </c:spPr>
          <c:invertIfNegative val="0"/>
          <c:cat>
            <c:strRef>
              <c:f>'Latent Load and Setpoint'!$D$16:$D$19</c:f>
              <c:strCache>
                <c:ptCount val="4"/>
                <c:pt idx="0">
                  <c:v>Initial &amp; Early Stages (14 days)</c:v>
                </c:pt>
                <c:pt idx="1">
                  <c:v>Mid Stage (35 days)</c:v>
                </c:pt>
                <c:pt idx="2">
                  <c:v>Late Stage (14 days)</c:v>
                </c:pt>
                <c:pt idx="3">
                  <c:v>Crop Rotation (4 days)</c:v>
                </c:pt>
              </c:strCache>
            </c:strRef>
          </c:cat>
          <c:val>
            <c:numRef>
              <c:f>'Latent Load and Setpoint'!$R$16:$R$19</c:f>
              <c:numCache>
                <c:formatCode>0</c:formatCode>
                <c:ptCount val="4"/>
                <c:pt idx="0">
                  <c:v>67</c:v>
                </c:pt>
                <c:pt idx="1">
                  <c:v>57</c:v>
                </c:pt>
                <c:pt idx="2">
                  <c:v>48</c:v>
                </c:pt>
                <c:pt idx="3">
                  <c:v>50</c:v>
                </c:pt>
              </c:numCache>
            </c:numRef>
          </c:val>
          <c:extLst>
            <c:ext xmlns:c16="http://schemas.microsoft.com/office/drawing/2014/chart" uri="{C3380CC4-5D6E-409C-BE32-E72D297353CC}">
              <c16:uniqueId val="{0000000D-1EDC-9843-9482-E0623AE643DE}"/>
            </c:ext>
          </c:extLst>
        </c:ser>
        <c:ser>
          <c:idx val="14"/>
          <c:order val="14"/>
          <c:spPr>
            <a:solidFill>
              <a:schemeClr val="accent1">
                <a:tint val="86000"/>
              </a:schemeClr>
            </a:solidFill>
            <a:ln>
              <a:noFill/>
            </a:ln>
            <a:effectLst/>
          </c:spPr>
          <c:invertIfNegative val="0"/>
          <c:cat>
            <c:strRef>
              <c:f>'Latent Load and Setpoint'!$D$16:$D$19</c:f>
              <c:strCache>
                <c:ptCount val="4"/>
                <c:pt idx="0">
                  <c:v>Initial &amp; Early Stages (14 days)</c:v>
                </c:pt>
                <c:pt idx="1">
                  <c:v>Mid Stage (35 days)</c:v>
                </c:pt>
                <c:pt idx="2">
                  <c:v>Late Stage (14 days)</c:v>
                </c:pt>
                <c:pt idx="3">
                  <c:v>Crop Rotation (4 days)</c:v>
                </c:pt>
              </c:strCache>
            </c:strRef>
          </c:cat>
          <c:val>
            <c:numRef>
              <c:f>'Latent Load and Setpoint'!$S$16:$S$19</c:f>
              <c:numCache>
                <c:formatCode>0</c:formatCode>
                <c:ptCount val="4"/>
                <c:pt idx="0">
                  <c:v>67</c:v>
                </c:pt>
                <c:pt idx="1">
                  <c:v>57</c:v>
                </c:pt>
                <c:pt idx="2">
                  <c:v>48</c:v>
                </c:pt>
                <c:pt idx="3">
                  <c:v>50</c:v>
                </c:pt>
              </c:numCache>
            </c:numRef>
          </c:val>
          <c:extLst>
            <c:ext xmlns:c16="http://schemas.microsoft.com/office/drawing/2014/chart" uri="{C3380CC4-5D6E-409C-BE32-E72D297353CC}">
              <c16:uniqueId val="{0000000E-1EDC-9843-9482-E0623AE643DE}"/>
            </c:ext>
          </c:extLst>
        </c:ser>
        <c:ser>
          <c:idx val="15"/>
          <c:order val="15"/>
          <c:spPr>
            <a:solidFill>
              <a:schemeClr val="accent1">
                <a:tint val="81000"/>
              </a:schemeClr>
            </a:solidFill>
            <a:ln>
              <a:noFill/>
            </a:ln>
            <a:effectLst/>
          </c:spPr>
          <c:invertIfNegative val="0"/>
          <c:cat>
            <c:strRef>
              <c:f>'Latent Load and Setpoint'!$D$16:$D$19</c:f>
              <c:strCache>
                <c:ptCount val="4"/>
                <c:pt idx="0">
                  <c:v>Initial &amp; Early Stages (14 days)</c:v>
                </c:pt>
                <c:pt idx="1">
                  <c:v>Mid Stage (35 days)</c:v>
                </c:pt>
                <c:pt idx="2">
                  <c:v>Late Stage (14 days)</c:v>
                </c:pt>
                <c:pt idx="3">
                  <c:v>Crop Rotation (4 days)</c:v>
                </c:pt>
              </c:strCache>
            </c:strRef>
          </c:cat>
          <c:val>
            <c:numRef>
              <c:f>'Latent Load and Setpoint'!$T$16:$T$19</c:f>
              <c:numCache>
                <c:formatCode>0</c:formatCode>
                <c:ptCount val="4"/>
                <c:pt idx="0">
                  <c:v>67</c:v>
                </c:pt>
                <c:pt idx="1">
                  <c:v>57</c:v>
                </c:pt>
                <c:pt idx="2">
                  <c:v>48</c:v>
                </c:pt>
                <c:pt idx="3">
                  <c:v>50</c:v>
                </c:pt>
              </c:numCache>
            </c:numRef>
          </c:val>
          <c:extLst>
            <c:ext xmlns:c16="http://schemas.microsoft.com/office/drawing/2014/chart" uri="{C3380CC4-5D6E-409C-BE32-E72D297353CC}">
              <c16:uniqueId val="{0000000F-1EDC-9843-9482-E0623AE643DE}"/>
            </c:ext>
          </c:extLst>
        </c:ser>
        <c:ser>
          <c:idx val="16"/>
          <c:order val="16"/>
          <c:spPr>
            <a:solidFill>
              <a:schemeClr val="accent1">
                <a:tint val="75000"/>
              </a:schemeClr>
            </a:solidFill>
            <a:ln>
              <a:noFill/>
            </a:ln>
            <a:effectLst/>
          </c:spPr>
          <c:invertIfNegative val="0"/>
          <c:cat>
            <c:strRef>
              <c:f>'Latent Load and Setpoint'!$D$16:$D$19</c:f>
              <c:strCache>
                <c:ptCount val="4"/>
                <c:pt idx="0">
                  <c:v>Initial &amp; Early Stages (14 days)</c:v>
                </c:pt>
                <c:pt idx="1">
                  <c:v>Mid Stage (35 days)</c:v>
                </c:pt>
                <c:pt idx="2">
                  <c:v>Late Stage (14 days)</c:v>
                </c:pt>
                <c:pt idx="3">
                  <c:v>Crop Rotation (4 days)</c:v>
                </c:pt>
              </c:strCache>
            </c:strRef>
          </c:cat>
          <c:val>
            <c:numRef>
              <c:f>'Latent Load and Setpoint'!$U$16:$U$19</c:f>
              <c:numCache>
                <c:formatCode>0</c:formatCode>
                <c:ptCount val="4"/>
                <c:pt idx="0">
                  <c:v>67</c:v>
                </c:pt>
                <c:pt idx="1">
                  <c:v>57</c:v>
                </c:pt>
                <c:pt idx="2">
                  <c:v>48</c:v>
                </c:pt>
                <c:pt idx="3">
                  <c:v>50</c:v>
                </c:pt>
              </c:numCache>
            </c:numRef>
          </c:val>
          <c:extLst>
            <c:ext xmlns:c16="http://schemas.microsoft.com/office/drawing/2014/chart" uri="{C3380CC4-5D6E-409C-BE32-E72D297353CC}">
              <c16:uniqueId val="{00000010-1EDC-9843-9482-E0623AE643DE}"/>
            </c:ext>
          </c:extLst>
        </c:ser>
        <c:ser>
          <c:idx val="17"/>
          <c:order val="17"/>
          <c:spPr>
            <a:solidFill>
              <a:schemeClr val="accent1">
                <a:tint val="70000"/>
              </a:schemeClr>
            </a:solidFill>
            <a:ln>
              <a:noFill/>
            </a:ln>
            <a:effectLst/>
          </c:spPr>
          <c:invertIfNegative val="0"/>
          <c:cat>
            <c:strRef>
              <c:f>'Latent Load and Setpoint'!$D$16:$D$19</c:f>
              <c:strCache>
                <c:ptCount val="4"/>
                <c:pt idx="0">
                  <c:v>Initial &amp; Early Stages (14 days)</c:v>
                </c:pt>
                <c:pt idx="1">
                  <c:v>Mid Stage (35 days)</c:v>
                </c:pt>
                <c:pt idx="2">
                  <c:v>Late Stage (14 days)</c:v>
                </c:pt>
                <c:pt idx="3">
                  <c:v>Crop Rotation (4 days)</c:v>
                </c:pt>
              </c:strCache>
            </c:strRef>
          </c:cat>
          <c:val>
            <c:numRef>
              <c:f>'Latent Load and Setpoint'!$V$16:$V$19</c:f>
              <c:numCache>
                <c:formatCode>0</c:formatCode>
                <c:ptCount val="4"/>
                <c:pt idx="0">
                  <c:v>67</c:v>
                </c:pt>
                <c:pt idx="1">
                  <c:v>57</c:v>
                </c:pt>
                <c:pt idx="2">
                  <c:v>48</c:v>
                </c:pt>
                <c:pt idx="3">
                  <c:v>50</c:v>
                </c:pt>
              </c:numCache>
            </c:numRef>
          </c:val>
          <c:extLst>
            <c:ext xmlns:c16="http://schemas.microsoft.com/office/drawing/2014/chart" uri="{C3380CC4-5D6E-409C-BE32-E72D297353CC}">
              <c16:uniqueId val="{00000011-1EDC-9843-9482-E0623AE643DE}"/>
            </c:ext>
          </c:extLst>
        </c:ser>
        <c:ser>
          <c:idx val="18"/>
          <c:order val="18"/>
          <c:spPr>
            <a:solidFill>
              <a:schemeClr val="accent1">
                <a:tint val="64000"/>
              </a:schemeClr>
            </a:solidFill>
            <a:ln>
              <a:noFill/>
            </a:ln>
            <a:effectLst/>
          </c:spPr>
          <c:invertIfNegative val="0"/>
          <c:cat>
            <c:strRef>
              <c:f>'Latent Load and Setpoint'!$D$16:$D$19</c:f>
              <c:strCache>
                <c:ptCount val="4"/>
                <c:pt idx="0">
                  <c:v>Initial &amp; Early Stages (14 days)</c:v>
                </c:pt>
                <c:pt idx="1">
                  <c:v>Mid Stage (35 days)</c:v>
                </c:pt>
                <c:pt idx="2">
                  <c:v>Late Stage (14 days)</c:v>
                </c:pt>
                <c:pt idx="3">
                  <c:v>Crop Rotation (4 days)</c:v>
                </c:pt>
              </c:strCache>
            </c:strRef>
          </c:cat>
          <c:val>
            <c:numRef>
              <c:f>'Latent Load and Setpoint'!$W$16:$W$19</c:f>
              <c:numCache>
                <c:formatCode>0</c:formatCode>
                <c:ptCount val="4"/>
                <c:pt idx="0">
                  <c:v>65</c:v>
                </c:pt>
                <c:pt idx="1">
                  <c:v>54</c:v>
                </c:pt>
                <c:pt idx="2">
                  <c:v>46</c:v>
                </c:pt>
                <c:pt idx="3">
                  <c:v>50</c:v>
                </c:pt>
              </c:numCache>
            </c:numRef>
          </c:val>
          <c:extLst>
            <c:ext xmlns:c16="http://schemas.microsoft.com/office/drawing/2014/chart" uri="{C3380CC4-5D6E-409C-BE32-E72D297353CC}">
              <c16:uniqueId val="{00000012-1EDC-9843-9482-E0623AE643DE}"/>
            </c:ext>
          </c:extLst>
        </c:ser>
        <c:ser>
          <c:idx val="19"/>
          <c:order val="19"/>
          <c:spPr>
            <a:solidFill>
              <a:schemeClr val="accent1">
                <a:tint val="58000"/>
              </a:schemeClr>
            </a:solidFill>
            <a:ln>
              <a:noFill/>
            </a:ln>
            <a:effectLst/>
          </c:spPr>
          <c:invertIfNegative val="0"/>
          <c:cat>
            <c:strRef>
              <c:f>'Latent Load and Setpoint'!$D$16:$D$19</c:f>
              <c:strCache>
                <c:ptCount val="4"/>
                <c:pt idx="0">
                  <c:v>Initial &amp; Early Stages (14 days)</c:v>
                </c:pt>
                <c:pt idx="1">
                  <c:v>Mid Stage (35 days)</c:v>
                </c:pt>
                <c:pt idx="2">
                  <c:v>Late Stage (14 days)</c:v>
                </c:pt>
                <c:pt idx="3">
                  <c:v>Crop Rotation (4 days)</c:v>
                </c:pt>
              </c:strCache>
            </c:strRef>
          </c:cat>
          <c:val>
            <c:numRef>
              <c:f>'Latent Load and Setpoint'!$X$16:$X$19</c:f>
              <c:numCache>
                <c:formatCode>0</c:formatCode>
                <c:ptCount val="4"/>
                <c:pt idx="0">
                  <c:v>65</c:v>
                </c:pt>
                <c:pt idx="1">
                  <c:v>54</c:v>
                </c:pt>
                <c:pt idx="2">
                  <c:v>46</c:v>
                </c:pt>
                <c:pt idx="3">
                  <c:v>50</c:v>
                </c:pt>
              </c:numCache>
            </c:numRef>
          </c:val>
          <c:extLst>
            <c:ext xmlns:c16="http://schemas.microsoft.com/office/drawing/2014/chart" uri="{C3380CC4-5D6E-409C-BE32-E72D297353CC}">
              <c16:uniqueId val="{00000013-1EDC-9843-9482-E0623AE643DE}"/>
            </c:ext>
          </c:extLst>
        </c:ser>
        <c:ser>
          <c:idx val="20"/>
          <c:order val="20"/>
          <c:spPr>
            <a:solidFill>
              <a:schemeClr val="accent1">
                <a:tint val="53000"/>
              </a:schemeClr>
            </a:solidFill>
            <a:ln>
              <a:noFill/>
            </a:ln>
            <a:effectLst/>
          </c:spPr>
          <c:invertIfNegative val="0"/>
          <c:cat>
            <c:strRef>
              <c:f>'Latent Load and Setpoint'!$D$16:$D$19</c:f>
              <c:strCache>
                <c:ptCount val="4"/>
                <c:pt idx="0">
                  <c:v>Initial &amp; Early Stages (14 days)</c:v>
                </c:pt>
                <c:pt idx="1">
                  <c:v>Mid Stage (35 days)</c:v>
                </c:pt>
                <c:pt idx="2">
                  <c:v>Late Stage (14 days)</c:v>
                </c:pt>
                <c:pt idx="3">
                  <c:v>Crop Rotation (4 days)</c:v>
                </c:pt>
              </c:strCache>
            </c:strRef>
          </c:cat>
          <c:val>
            <c:numRef>
              <c:f>'Latent Load and Setpoint'!$Y$16:$Y$19</c:f>
              <c:numCache>
                <c:formatCode>0</c:formatCode>
                <c:ptCount val="4"/>
                <c:pt idx="0">
                  <c:v>65</c:v>
                </c:pt>
                <c:pt idx="1">
                  <c:v>54</c:v>
                </c:pt>
                <c:pt idx="2">
                  <c:v>46</c:v>
                </c:pt>
                <c:pt idx="3">
                  <c:v>50</c:v>
                </c:pt>
              </c:numCache>
            </c:numRef>
          </c:val>
          <c:extLst>
            <c:ext xmlns:c16="http://schemas.microsoft.com/office/drawing/2014/chart" uri="{C3380CC4-5D6E-409C-BE32-E72D297353CC}">
              <c16:uniqueId val="{00000014-1EDC-9843-9482-E0623AE643DE}"/>
            </c:ext>
          </c:extLst>
        </c:ser>
        <c:ser>
          <c:idx val="21"/>
          <c:order val="21"/>
          <c:spPr>
            <a:solidFill>
              <a:schemeClr val="accent1">
                <a:tint val="47000"/>
              </a:schemeClr>
            </a:solidFill>
            <a:ln>
              <a:noFill/>
            </a:ln>
            <a:effectLst/>
          </c:spPr>
          <c:invertIfNegative val="0"/>
          <c:cat>
            <c:strRef>
              <c:f>'Latent Load and Setpoint'!$D$16:$D$19</c:f>
              <c:strCache>
                <c:ptCount val="4"/>
                <c:pt idx="0">
                  <c:v>Initial &amp; Early Stages (14 days)</c:v>
                </c:pt>
                <c:pt idx="1">
                  <c:v>Mid Stage (35 days)</c:v>
                </c:pt>
                <c:pt idx="2">
                  <c:v>Late Stage (14 days)</c:v>
                </c:pt>
                <c:pt idx="3">
                  <c:v>Crop Rotation (4 days)</c:v>
                </c:pt>
              </c:strCache>
            </c:strRef>
          </c:cat>
          <c:val>
            <c:numRef>
              <c:f>'Latent Load and Setpoint'!$Z$16:$Z$19</c:f>
              <c:numCache>
                <c:formatCode>0</c:formatCode>
                <c:ptCount val="4"/>
                <c:pt idx="0">
                  <c:v>65</c:v>
                </c:pt>
                <c:pt idx="1">
                  <c:v>54</c:v>
                </c:pt>
                <c:pt idx="2">
                  <c:v>46</c:v>
                </c:pt>
                <c:pt idx="3">
                  <c:v>50</c:v>
                </c:pt>
              </c:numCache>
            </c:numRef>
          </c:val>
          <c:extLst>
            <c:ext xmlns:c16="http://schemas.microsoft.com/office/drawing/2014/chart" uri="{C3380CC4-5D6E-409C-BE32-E72D297353CC}">
              <c16:uniqueId val="{00000015-1EDC-9843-9482-E0623AE643DE}"/>
            </c:ext>
          </c:extLst>
        </c:ser>
        <c:ser>
          <c:idx val="22"/>
          <c:order val="22"/>
          <c:spPr>
            <a:solidFill>
              <a:schemeClr val="accent1">
                <a:tint val="42000"/>
              </a:schemeClr>
            </a:solidFill>
            <a:ln>
              <a:noFill/>
            </a:ln>
            <a:effectLst/>
          </c:spPr>
          <c:invertIfNegative val="0"/>
          <c:cat>
            <c:strRef>
              <c:f>'Latent Load and Setpoint'!$D$16:$D$19</c:f>
              <c:strCache>
                <c:ptCount val="4"/>
                <c:pt idx="0">
                  <c:v>Initial &amp; Early Stages (14 days)</c:v>
                </c:pt>
                <c:pt idx="1">
                  <c:v>Mid Stage (35 days)</c:v>
                </c:pt>
                <c:pt idx="2">
                  <c:v>Late Stage (14 days)</c:v>
                </c:pt>
                <c:pt idx="3">
                  <c:v>Crop Rotation (4 days)</c:v>
                </c:pt>
              </c:strCache>
            </c:strRef>
          </c:cat>
          <c:val>
            <c:numRef>
              <c:f>'Latent Load and Setpoint'!$AA$16:$AA$19</c:f>
              <c:numCache>
                <c:formatCode>0</c:formatCode>
                <c:ptCount val="4"/>
                <c:pt idx="0">
                  <c:v>65</c:v>
                </c:pt>
                <c:pt idx="1">
                  <c:v>54</c:v>
                </c:pt>
                <c:pt idx="2">
                  <c:v>46</c:v>
                </c:pt>
                <c:pt idx="3">
                  <c:v>50</c:v>
                </c:pt>
              </c:numCache>
            </c:numRef>
          </c:val>
          <c:extLst>
            <c:ext xmlns:c16="http://schemas.microsoft.com/office/drawing/2014/chart" uri="{C3380CC4-5D6E-409C-BE32-E72D297353CC}">
              <c16:uniqueId val="{00000016-1EDC-9843-9482-E0623AE643DE}"/>
            </c:ext>
          </c:extLst>
        </c:ser>
        <c:ser>
          <c:idx val="23"/>
          <c:order val="23"/>
          <c:spPr>
            <a:solidFill>
              <a:schemeClr val="accent1">
                <a:tint val="36000"/>
              </a:schemeClr>
            </a:solidFill>
            <a:ln>
              <a:noFill/>
            </a:ln>
            <a:effectLst/>
          </c:spPr>
          <c:invertIfNegative val="0"/>
          <c:cat>
            <c:strRef>
              <c:f>'Latent Load and Setpoint'!$D$16:$D$19</c:f>
              <c:strCache>
                <c:ptCount val="4"/>
                <c:pt idx="0">
                  <c:v>Initial &amp; Early Stages (14 days)</c:v>
                </c:pt>
                <c:pt idx="1">
                  <c:v>Mid Stage (35 days)</c:v>
                </c:pt>
                <c:pt idx="2">
                  <c:v>Late Stage (14 days)</c:v>
                </c:pt>
                <c:pt idx="3">
                  <c:v>Crop Rotation (4 days)</c:v>
                </c:pt>
              </c:strCache>
            </c:strRef>
          </c:cat>
          <c:val>
            <c:numRef>
              <c:f>'Latent Load and Setpoint'!$AB$16:$AB$19</c:f>
              <c:numCache>
                <c:formatCode>0</c:formatCode>
                <c:ptCount val="4"/>
                <c:pt idx="0">
                  <c:v>65</c:v>
                </c:pt>
                <c:pt idx="1">
                  <c:v>54</c:v>
                </c:pt>
                <c:pt idx="2">
                  <c:v>46</c:v>
                </c:pt>
                <c:pt idx="3">
                  <c:v>50</c:v>
                </c:pt>
              </c:numCache>
            </c:numRef>
          </c:val>
          <c:extLst>
            <c:ext xmlns:c16="http://schemas.microsoft.com/office/drawing/2014/chart" uri="{C3380CC4-5D6E-409C-BE32-E72D297353CC}">
              <c16:uniqueId val="{00000017-1EDC-9843-9482-E0623AE643DE}"/>
            </c:ext>
          </c:extLst>
        </c:ser>
        <c:dLbls>
          <c:showLegendKey val="0"/>
          <c:showVal val="0"/>
          <c:showCatName val="0"/>
          <c:showSerName val="0"/>
          <c:showPercent val="0"/>
          <c:showBubbleSize val="0"/>
        </c:dLbls>
        <c:gapWidth val="150"/>
        <c:axId val="2054854960"/>
        <c:axId val="2054840560"/>
      </c:barChart>
      <c:catAx>
        <c:axId val="2054854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Hour of Day</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4840560"/>
        <c:crosses val="autoZero"/>
        <c:auto val="1"/>
        <c:lblAlgn val="ctr"/>
        <c:lblOffset val="100"/>
        <c:noMultiLvlLbl val="0"/>
      </c:catAx>
      <c:valAx>
        <c:axId val="20548405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Setpoint Schedule (Dehumidifying, %RH)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4854960"/>
        <c:crosses val="autoZero"/>
        <c:crossBetween val="between"/>
      </c:valAx>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 Energy Factor Curve Factors vs. Entering</a:t>
            </a:r>
            <a:r>
              <a:rPr lang="en-US" baseline="0"/>
              <a:t> RH &amp; DB</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v>60</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Lit>
              <c:formatCode>General</c:formatCode>
              <c:ptCount val="4"/>
              <c:pt idx="0">
                <c:v>45</c:v>
              </c:pt>
              <c:pt idx="1">
                <c:v>50</c:v>
              </c:pt>
              <c:pt idx="2">
                <c:v>55</c:v>
              </c:pt>
              <c:pt idx="3">
                <c:v>60</c:v>
              </c:pt>
            </c:numLit>
          </c:xVal>
          <c:yVal>
            <c:numLit>
              <c:formatCode>General</c:formatCode>
              <c:ptCount val="4"/>
              <c:pt idx="0">
                <c:v>0.64887109094663953</c:v>
              </c:pt>
              <c:pt idx="1">
                <c:v>0.7779372961215032</c:v>
              </c:pt>
              <c:pt idx="2">
                <c:v>0.88941208723862963</c:v>
              </c:pt>
              <c:pt idx="3">
                <c:v>0.98329546429801773</c:v>
              </c:pt>
            </c:numLit>
          </c:yVal>
          <c:smooth val="1"/>
          <c:extLst>
            <c:ext xmlns:c16="http://schemas.microsoft.com/office/drawing/2014/chart" uri="{C3380CC4-5D6E-409C-BE32-E72D297353CC}">
              <c16:uniqueId val="{00000000-8B62-F941-9DF5-E8A4C1262828}"/>
            </c:ext>
          </c:extLst>
        </c:ser>
        <c:ser>
          <c:idx val="1"/>
          <c:order val="1"/>
          <c:tx>
            <c:v>70</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Lit>
              <c:formatCode>General</c:formatCode>
              <c:ptCount val="4"/>
              <c:pt idx="0">
                <c:v>45</c:v>
              </c:pt>
              <c:pt idx="1">
                <c:v>50</c:v>
              </c:pt>
              <c:pt idx="2">
                <c:v>55</c:v>
              </c:pt>
              <c:pt idx="3">
                <c:v>60</c:v>
              </c:pt>
            </c:numLit>
          </c:xVal>
          <c:yVal>
            <c:numLit>
              <c:formatCode>General</c:formatCode>
              <c:ptCount val="4"/>
              <c:pt idx="0">
                <c:v>0.74861403105143098</c:v>
              </c:pt>
              <c:pt idx="1">
                <c:v>0.8616625990696356</c:v>
              </c:pt>
              <c:pt idx="2">
                <c:v>0.95711975303010266</c:v>
              </c:pt>
              <c:pt idx="3">
                <c:v>1.0349854929328315</c:v>
              </c:pt>
            </c:numLit>
          </c:yVal>
          <c:smooth val="1"/>
          <c:extLst>
            <c:ext xmlns:c16="http://schemas.microsoft.com/office/drawing/2014/chart" uri="{C3380CC4-5D6E-409C-BE32-E72D297353CC}">
              <c16:uniqueId val="{00000001-8B62-F941-9DF5-E8A4C1262828}"/>
            </c:ext>
          </c:extLst>
        </c:ser>
        <c:ser>
          <c:idx val="2"/>
          <c:order val="2"/>
          <c:tx>
            <c:v>80</c:v>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Lit>
              <c:formatCode>General</c:formatCode>
              <c:ptCount val="4"/>
              <c:pt idx="0">
                <c:v>45</c:v>
              </c:pt>
              <c:pt idx="1">
                <c:v>50</c:v>
              </c:pt>
              <c:pt idx="2">
                <c:v>55</c:v>
              </c:pt>
              <c:pt idx="3">
                <c:v>60</c:v>
              </c:pt>
            </c:numLit>
          </c:xVal>
          <c:yVal>
            <c:numLit>
              <c:formatCode>General</c:formatCode>
              <c:ptCount val="4"/>
              <c:pt idx="0">
                <c:v>0.76168144963557116</c:v>
              </c:pt>
              <c:pt idx="1">
                <c:v>0.85871238049711685</c:v>
              </c:pt>
              <c:pt idx="2">
                <c:v>0.93815189730092474</c:v>
              </c:pt>
              <c:pt idx="3">
                <c:v>1.000000000046994</c:v>
              </c:pt>
            </c:numLit>
          </c:yVal>
          <c:smooth val="1"/>
          <c:extLst>
            <c:ext xmlns:c16="http://schemas.microsoft.com/office/drawing/2014/chart" uri="{C3380CC4-5D6E-409C-BE32-E72D297353CC}">
              <c16:uniqueId val="{00000002-8B62-F941-9DF5-E8A4C1262828}"/>
            </c:ext>
          </c:extLst>
        </c:ser>
        <c:dLbls>
          <c:showLegendKey val="0"/>
          <c:showVal val="0"/>
          <c:showCatName val="0"/>
          <c:showSerName val="0"/>
          <c:showPercent val="0"/>
          <c:showBubbleSize val="0"/>
        </c:dLbls>
        <c:axId val="232756176"/>
        <c:axId val="232758576"/>
      </c:scatterChart>
      <c:valAx>
        <c:axId val="232756176"/>
        <c:scaling>
          <c:orientation val="minMax"/>
          <c:max val="70"/>
          <c:min val="3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Relative Humidity [%]</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758576"/>
        <c:crosses val="autoZero"/>
        <c:crossBetween val="midCat"/>
      </c:valAx>
      <c:valAx>
        <c:axId val="2327585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75617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Part Load Fraction</a:t>
            </a:r>
            <a:r>
              <a:rPr lang="en-US" baseline="0"/>
              <a:t> Curve Factor vs. Part Load Ratio</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Lit>
              <c:formatCode>General</c:formatCode>
              <c:ptCount val="2"/>
              <c:pt idx="0">
                <c:v>0</c:v>
              </c:pt>
              <c:pt idx="1">
                <c:v>1</c:v>
              </c:pt>
            </c:numLit>
          </c:xVal>
          <c:yVal>
            <c:numLit>
              <c:formatCode>General</c:formatCode>
              <c:ptCount val="2"/>
              <c:pt idx="0">
                <c:v>0.95</c:v>
              </c:pt>
              <c:pt idx="1">
                <c:v>1</c:v>
              </c:pt>
            </c:numLit>
          </c:yVal>
          <c:smooth val="1"/>
          <c:extLst>
            <c:ext xmlns:c16="http://schemas.microsoft.com/office/drawing/2014/chart" uri="{C3380CC4-5D6E-409C-BE32-E72D297353CC}">
              <c16:uniqueId val="{00000000-7E25-BB41-90B7-5A21328EB683}"/>
            </c:ext>
          </c:extLst>
        </c:ser>
        <c:dLbls>
          <c:showLegendKey val="0"/>
          <c:showVal val="0"/>
          <c:showCatName val="0"/>
          <c:showSerName val="0"/>
          <c:showPercent val="0"/>
          <c:showBubbleSize val="0"/>
        </c:dLbls>
        <c:axId val="232798416"/>
        <c:axId val="232798896"/>
      </c:scatterChart>
      <c:valAx>
        <c:axId val="232798416"/>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798896"/>
        <c:crosses val="autoZero"/>
        <c:crossBetween val="midCat"/>
      </c:valAx>
      <c:valAx>
        <c:axId val="232798896"/>
        <c:scaling>
          <c:orientation val="minMax"/>
          <c:max val="1"/>
          <c:min val="0.9500000000000000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79841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Capacity &amp; SHR vs. Air Flow Rate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'2022+ Flower Room Coil Speeds'!$A$7</c:f>
              <c:strCache>
                <c:ptCount val="1"/>
                <c:pt idx="0">
                  <c:v>Reference Unit Gross Rated Total Cooling Capacity [tons]</c:v>
                </c:pt>
              </c:strCache>
            </c:strRef>
          </c:tx>
          <c:spPr>
            <a:ln w="38100" cap="rnd">
              <a:noFill/>
              <a:round/>
            </a:ln>
            <a:effectLst/>
          </c:spPr>
          <c:marker>
            <c:symbol val="circle"/>
            <c:size val="5"/>
            <c:spPr>
              <a:solidFill>
                <a:schemeClr val="accent1"/>
              </a:solidFill>
              <a:ln w="9525">
                <a:solidFill>
                  <a:schemeClr val="accent1"/>
                </a:solidFill>
              </a:ln>
              <a:effectLst/>
            </c:spPr>
          </c:marker>
          <c:xVal>
            <c:numRef>
              <c:f>'2022+ Flower Room Coil Speeds'!$B$11:$I$11</c:f>
              <c:numCache>
                <c:formatCode>General</c:formatCode>
                <c:ptCount val="8"/>
                <c:pt idx="0">
                  <c:v>1874.9999973452959</c:v>
                </c:pt>
                <c:pt idx="1">
                  <c:v>2999.9999957524701</c:v>
                </c:pt>
                <c:pt idx="2">
                  <c:v>3749.9999946905878</c:v>
                </c:pt>
                <c:pt idx="3">
                  <c:v>4949.9999929915793</c:v>
                </c:pt>
                <c:pt idx="4">
                  <c:v>5624.9999920358914</c:v>
                </c:pt>
                <c:pt idx="5">
                  <c:v>5999.9999915049402</c:v>
                </c:pt>
                <c:pt idx="6">
                  <c:v>6749.999990443057</c:v>
                </c:pt>
                <c:pt idx="7">
                  <c:v>7499.9999893811755</c:v>
                </c:pt>
              </c:numCache>
            </c:numRef>
          </c:xVal>
          <c:yVal>
            <c:numRef>
              <c:f>'2022+ Flower Room Coil Speeds'!$B$7:$I$7</c:f>
              <c:numCache>
                <c:formatCode>General</c:formatCode>
                <c:ptCount val="8"/>
                <c:pt idx="0">
                  <c:v>5.1842999998905182</c:v>
                </c:pt>
                <c:pt idx="1">
                  <c:v>9.2142499998053928</c:v>
                </c:pt>
                <c:pt idx="2">
                  <c:v>11.834249999750067</c:v>
                </c:pt>
                <c:pt idx="3">
                  <c:v>15.392249999674943</c:v>
                </c:pt>
                <c:pt idx="4">
                  <c:v>18.797409999603019</c:v>
                </c:pt>
                <c:pt idx="5">
                  <c:v>20.298909999571315</c:v>
                </c:pt>
                <c:pt idx="6">
                  <c:v>23.216579999509683</c:v>
                </c:pt>
                <c:pt idx="7">
                  <c:v>26.500249999440342</c:v>
                </c:pt>
              </c:numCache>
            </c:numRef>
          </c:yVal>
          <c:smooth val="0"/>
          <c:extLst>
            <c:ext xmlns:c16="http://schemas.microsoft.com/office/drawing/2014/chart" uri="{C3380CC4-5D6E-409C-BE32-E72D297353CC}">
              <c16:uniqueId val="{00000000-5810-4041-B66E-22813AAC8432}"/>
            </c:ext>
          </c:extLst>
        </c:ser>
        <c:dLbls>
          <c:showLegendKey val="0"/>
          <c:showVal val="0"/>
          <c:showCatName val="0"/>
          <c:showSerName val="0"/>
          <c:showPercent val="0"/>
          <c:showBubbleSize val="0"/>
        </c:dLbls>
        <c:axId val="399865215"/>
        <c:axId val="399873855"/>
      </c:scatterChart>
      <c:scatterChart>
        <c:scatterStyle val="lineMarker"/>
        <c:varyColors val="0"/>
        <c:ser>
          <c:idx val="1"/>
          <c:order val="1"/>
          <c:tx>
            <c:strRef>
              <c:f>'2022+ Flower Room Coil Speeds'!$A$8</c:f>
              <c:strCache>
                <c:ptCount val="1"/>
                <c:pt idx="0">
                  <c:v>Reference Unit Gross Rated Sensible Heat Ratio [-]</c:v>
                </c:pt>
              </c:strCache>
            </c:strRef>
          </c:tx>
          <c:spPr>
            <a:ln w="38100" cap="rnd">
              <a:noFill/>
              <a:round/>
            </a:ln>
            <a:effectLst/>
          </c:spPr>
          <c:marker>
            <c:symbol val="circle"/>
            <c:size val="5"/>
            <c:spPr>
              <a:solidFill>
                <a:schemeClr val="accent2"/>
              </a:solidFill>
              <a:ln w="9525">
                <a:solidFill>
                  <a:schemeClr val="accent2"/>
                </a:solidFill>
              </a:ln>
              <a:effectLst/>
            </c:spPr>
          </c:marker>
          <c:xVal>
            <c:numRef>
              <c:f>'2022+ Flower Room Coil Speeds'!$B$11:$I$11</c:f>
              <c:numCache>
                <c:formatCode>General</c:formatCode>
                <c:ptCount val="8"/>
                <c:pt idx="0">
                  <c:v>1874.9999973452959</c:v>
                </c:pt>
                <c:pt idx="1">
                  <c:v>2999.9999957524701</c:v>
                </c:pt>
                <c:pt idx="2">
                  <c:v>3749.9999946905878</c:v>
                </c:pt>
                <c:pt idx="3">
                  <c:v>4949.9999929915793</c:v>
                </c:pt>
                <c:pt idx="4">
                  <c:v>5624.9999920358914</c:v>
                </c:pt>
                <c:pt idx="5">
                  <c:v>5999.9999915049402</c:v>
                </c:pt>
                <c:pt idx="6">
                  <c:v>6749.999990443057</c:v>
                </c:pt>
                <c:pt idx="7">
                  <c:v>7499.9999893811755</c:v>
                </c:pt>
              </c:numCache>
            </c:numRef>
          </c:xVal>
          <c:yVal>
            <c:numRef>
              <c:f>'2022+ Flower Room Coil Speeds'!$B$8:$I$8</c:f>
              <c:numCache>
                <c:formatCode>General</c:formatCode>
                <c:ptCount val="8"/>
                <c:pt idx="0">
                  <c:v>0.69430000000000003</c:v>
                </c:pt>
                <c:pt idx="1">
                  <c:v>0.68279999999999996</c:v>
                </c:pt>
                <c:pt idx="2">
                  <c:v>0.68300000000000005</c:v>
                </c:pt>
                <c:pt idx="3">
                  <c:v>0.69610000000000005</c:v>
                </c:pt>
                <c:pt idx="4">
                  <c:v>0.67869999999999997</c:v>
                </c:pt>
                <c:pt idx="5">
                  <c:v>0.67700000000000005</c:v>
                </c:pt>
                <c:pt idx="6">
                  <c:v>0.67520000000000002</c:v>
                </c:pt>
                <c:pt idx="7">
                  <c:v>0.67030000000000001</c:v>
                </c:pt>
              </c:numCache>
            </c:numRef>
          </c:yVal>
          <c:smooth val="0"/>
          <c:extLst>
            <c:ext xmlns:c16="http://schemas.microsoft.com/office/drawing/2014/chart" uri="{C3380CC4-5D6E-409C-BE32-E72D297353CC}">
              <c16:uniqueId val="{00000001-5810-4041-B66E-22813AAC8432}"/>
            </c:ext>
          </c:extLst>
        </c:ser>
        <c:dLbls>
          <c:showLegendKey val="0"/>
          <c:showVal val="0"/>
          <c:showCatName val="0"/>
          <c:showSerName val="0"/>
          <c:showPercent val="0"/>
          <c:showBubbleSize val="0"/>
        </c:dLbls>
        <c:axId val="399875775"/>
        <c:axId val="399870015"/>
      </c:scatterChart>
      <c:valAx>
        <c:axId val="39986521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9873855"/>
        <c:crosses val="autoZero"/>
        <c:crossBetween val="midCat"/>
      </c:valAx>
      <c:valAx>
        <c:axId val="39987385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Cooling Capacity [tons]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9865215"/>
        <c:crosses val="autoZero"/>
        <c:crossBetween val="midCat"/>
      </c:valAx>
      <c:valAx>
        <c:axId val="399870015"/>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Sensible Heat</a:t>
                </a:r>
                <a:r>
                  <a:rPr lang="en-US" baseline="0"/>
                  <a:t> Ratio [-]</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9875775"/>
        <c:crosses val="max"/>
        <c:crossBetween val="midCat"/>
      </c:valAx>
      <c:valAx>
        <c:axId val="399875775"/>
        <c:scaling>
          <c:orientation val="minMax"/>
        </c:scaling>
        <c:delete val="1"/>
        <c:axPos val="b"/>
        <c:numFmt formatCode="General" sourceLinked="1"/>
        <c:majorTickMark val="out"/>
        <c:minorTickMark val="none"/>
        <c:tickLblPos val="nextTo"/>
        <c:crossAx val="39987001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Cooking EquipmentFuel type - Small Office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'Cooking Euipment'!$F$1</c:f>
              <c:strCache>
                <c:ptCount val="1"/>
                <c:pt idx="0">
                  <c:v>Electric Fuel Share</c:v>
                </c:pt>
              </c:strCache>
            </c:strRef>
          </c:tx>
          <c:spPr>
            <a:solidFill>
              <a:schemeClr val="accent1"/>
            </a:solidFill>
            <a:ln>
              <a:noFill/>
            </a:ln>
            <a:effectLst/>
          </c:spPr>
          <c:invertIfNegative val="0"/>
          <c:cat>
            <c:strRef>
              <c:f>'Cooking Euipment'!$A$3:$A$18</c:f>
              <c:strCache>
                <c:ptCount val="16"/>
                <c:pt idx="0">
                  <c:v>FCZ1</c:v>
                </c:pt>
                <c:pt idx="1">
                  <c:v>FCZ2</c:v>
                </c:pt>
                <c:pt idx="2">
                  <c:v>FCZ3</c:v>
                </c:pt>
                <c:pt idx="3">
                  <c:v>FCZ4</c:v>
                </c:pt>
                <c:pt idx="4">
                  <c:v>FCZ5</c:v>
                </c:pt>
                <c:pt idx="5">
                  <c:v>FCZ6</c:v>
                </c:pt>
                <c:pt idx="6">
                  <c:v>FCZ7</c:v>
                </c:pt>
                <c:pt idx="7">
                  <c:v>FCZ8</c:v>
                </c:pt>
                <c:pt idx="8">
                  <c:v>FCZ9</c:v>
                </c:pt>
                <c:pt idx="9">
                  <c:v>FCZ10</c:v>
                </c:pt>
                <c:pt idx="10">
                  <c:v>FCZ11</c:v>
                </c:pt>
                <c:pt idx="11">
                  <c:v>FCZ12c</c:v>
                </c:pt>
                <c:pt idx="12">
                  <c:v>FCZ12i</c:v>
                </c:pt>
                <c:pt idx="13">
                  <c:v>FCZ13</c:v>
                </c:pt>
                <c:pt idx="14">
                  <c:v>FCZ16</c:v>
                </c:pt>
                <c:pt idx="15">
                  <c:v>FCZ17</c:v>
                </c:pt>
              </c:strCache>
            </c:strRef>
          </c:cat>
          <c:val>
            <c:numRef>
              <c:f>'Cooking Euipment'!$F$3:$F$18</c:f>
              <c:numCache>
                <c:formatCode>0%</c:formatCode>
                <c:ptCount val="16"/>
                <c:pt idx="0">
                  <c:v>0.47987336212939902</c:v>
                </c:pt>
                <c:pt idx="1">
                  <c:v>0.175795128622309</c:v>
                </c:pt>
                <c:pt idx="2">
                  <c:v>0.76947624099160306</c:v>
                </c:pt>
                <c:pt idx="3">
                  <c:v>0.76947624099160306</c:v>
                </c:pt>
                <c:pt idx="4">
                  <c:v>0.58143569768308501</c:v>
                </c:pt>
                <c:pt idx="5">
                  <c:v>1.7126658714501301E-2</c:v>
                </c:pt>
                <c:pt idx="6">
                  <c:v>0.174835163446798</c:v>
                </c:pt>
                <c:pt idx="7">
                  <c:v>0.232534608647573</c:v>
                </c:pt>
                <c:pt idx="8">
                  <c:v>0.24364847067787099</c:v>
                </c:pt>
                <c:pt idx="9">
                  <c:v>0.255758253067004</c:v>
                </c:pt>
                <c:pt idx="10">
                  <c:v>0.56741362856852595</c:v>
                </c:pt>
                <c:pt idx="11">
                  <c:v>0.37811695085799801</c:v>
                </c:pt>
                <c:pt idx="12">
                  <c:v>0.75222323583728001</c:v>
                </c:pt>
                <c:pt idx="13">
                  <c:v>0.48031792809513002</c:v>
                </c:pt>
                <c:pt idx="14">
                  <c:v>0.210872325346559</c:v>
                </c:pt>
                <c:pt idx="15">
                  <c:v>1.7611914496889602E-2</c:v>
                </c:pt>
              </c:numCache>
            </c:numRef>
          </c:val>
          <c:extLst>
            <c:ext xmlns:c16="http://schemas.microsoft.com/office/drawing/2014/chart" uri="{C3380CC4-5D6E-409C-BE32-E72D297353CC}">
              <c16:uniqueId val="{00000000-BB51-4DAF-B36F-4361BD796AC7}"/>
            </c:ext>
          </c:extLst>
        </c:ser>
        <c:ser>
          <c:idx val="1"/>
          <c:order val="1"/>
          <c:tx>
            <c:strRef>
              <c:f>'Cooking Euipment'!$G$1</c:f>
              <c:strCache>
                <c:ptCount val="1"/>
                <c:pt idx="0">
                  <c:v>Gas Fuel Share</c:v>
                </c:pt>
              </c:strCache>
            </c:strRef>
          </c:tx>
          <c:spPr>
            <a:solidFill>
              <a:schemeClr val="accent2"/>
            </a:solidFill>
            <a:ln>
              <a:noFill/>
            </a:ln>
            <a:effectLst/>
          </c:spPr>
          <c:invertIfNegative val="0"/>
          <c:cat>
            <c:strRef>
              <c:f>'Cooking Euipment'!$A$3:$A$18</c:f>
              <c:strCache>
                <c:ptCount val="16"/>
                <c:pt idx="0">
                  <c:v>FCZ1</c:v>
                </c:pt>
                <c:pt idx="1">
                  <c:v>FCZ2</c:v>
                </c:pt>
                <c:pt idx="2">
                  <c:v>FCZ3</c:v>
                </c:pt>
                <c:pt idx="3">
                  <c:v>FCZ4</c:v>
                </c:pt>
                <c:pt idx="4">
                  <c:v>FCZ5</c:v>
                </c:pt>
                <c:pt idx="5">
                  <c:v>FCZ6</c:v>
                </c:pt>
                <c:pt idx="6">
                  <c:v>FCZ7</c:v>
                </c:pt>
                <c:pt idx="7">
                  <c:v>FCZ8</c:v>
                </c:pt>
                <c:pt idx="8">
                  <c:v>FCZ9</c:v>
                </c:pt>
                <c:pt idx="9">
                  <c:v>FCZ10</c:v>
                </c:pt>
                <c:pt idx="10">
                  <c:v>FCZ11</c:v>
                </c:pt>
                <c:pt idx="11">
                  <c:v>FCZ12c</c:v>
                </c:pt>
                <c:pt idx="12">
                  <c:v>FCZ12i</c:v>
                </c:pt>
                <c:pt idx="13">
                  <c:v>FCZ13</c:v>
                </c:pt>
                <c:pt idx="14">
                  <c:v>FCZ16</c:v>
                </c:pt>
                <c:pt idx="15">
                  <c:v>FCZ17</c:v>
                </c:pt>
              </c:strCache>
            </c:strRef>
          </c:cat>
          <c:val>
            <c:numRef>
              <c:f>'Cooking Euipment'!$G$3:$G$18</c:f>
              <c:numCache>
                <c:formatCode>0%</c:formatCode>
                <c:ptCount val="16"/>
                <c:pt idx="0">
                  <c:v>0.50250087794662601</c:v>
                </c:pt>
                <c:pt idx="1">
                  <c:v>0.82420487137769105</c:v>
                </c:pt>
                <c:pt idx="2">
                  <c:v>0.230523759008397</c:v>
                </c:pt>
                <c:pt idx="3">
                  <c:v>0.230523759008397</c:v>
                </c:pt>
                <c:pt idx="4">
                  <c:v>0.41856430231691499</c:v>
                </c:pt>
                <c:pt idx="5">
                  <c:v>0.98287334128549897</c:v>
                </c:pt>
                <c:pt idx="6">
                  <c:v>0.82516483655320205</c:v>
                </c:pt>
                <c:pt idx="7">
                  <c:v>0.76746539135242697</c:v>
                </c:pt>
                <c:pt idx="8">
                  <c:v>0.75635152932212901</c:v>
                </c:pt>
                <c:pt idx="9">
                  <c:v>0.74424174693299605</c:v>
                </c:pt>
                <c:pt idx="10">
                  <c:v>0.43258637143147399</c:v>
                </c:pt>
                <c:pt idx="11">
                  <c:v>0.62188304914200199</c:v>
                </c:pt>
                <c:pt idx="12">
                  <c:v>0.24777676416271999</c:v>
                </c:pt>
                <c:pt idx="13">
                  <c:v>0.51383014843259001</c:v>
                </c:pt>
                <c:pt idx="14">
                  <c:v>0.78912767465344102</c:v>
                </c:pt>
                <c:pt idx="15">
                  <c:v>0.98238808550310996</c:v>
                </c:pt>
              </c:numCache>
            </c:numRef>
          </c:val>
          <c:extLst>
            <c:ext xmlns:c16="http://schemas.microsoft.com/office/drawing/2014/chart" uri="{C3380CC4-5D6E-409C-BE32-E72D297353CC}">
              <c16:uniqueId val="{00000001-BB51-4DAF-B36F-4361BD796AC7}"/>
            </c:ext>
          </c:extLst>
        </c:ser>
        <c:dLbls>
          <c:showLegendKey val="0"/>
          <c:showVal val="0"/>
          <c:showCatName val="0"/>
          <c:showSerName val="0"/>
          <c:showPercent val="0"/>
          <c:showBubbleSize val="0"/>
        </c:dLbls>
        <c:gapWidth val="150"/>
        <c:overlap val="100"/>
        <c:axId val="1803301935"/>
        <c:axId val="1383834687"/>
      </c:barChart>
      <c:catAx>
        <c:axId val="18033019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3834687"/>
        <c:crosses val="autoZero"/>
        <c:auto val="1"/>
        <c:lblAlgn val="ctr"/>
        <c:lblOffset val="100"/>
        <c:noMultiLvlLbl val="0"/>
      </c:catAx>
      <c:valAx>
        <c:axId val="13838346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33019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Air Compressor</a:t>
            </a:r>
            <a:r>
              <a:rPr lang="en-US" baseline="0"/>
              <a:t> Saturation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'Air compressor'!$A$3:$A$18</c:f>
              <c:strCache>
                <c:ptCount val="16"/>
                <c:pt idx="0">
                  <c:v>FCZ1</c:v>
                </c:pt>
                <c:pt idx="1">
                  <c:v>FCZ2</c:v>
                </c:pt>
                <c:pt idx="2">
                  <c:v>FCZ3</c:v>
                </c:pt>
                <c:pt idx="3">
                  <c:v>FCZ4</c:v>
                </c:pt>
                <c:pt idx="4">
                  <c:v>FCZ5</c:v>
                </c:pt>
                <c:pt idx="5">
                  <c:v>FCZ6</c:v>
                </c:pt>
                <c:pt idx="6">
                  <c:v>FCZ7</c:v>
                </c:pt>
                <c:pt idx="7">
                  <c:v>FCZ8</c:v>
                </c:pt>
                <c:pt idx="8">
                  <c:v>FCZ9</c:v>
                </c:pt>
                <c:pt idx="9">
                  <c:v>FCZ10</c:v>
                </c:pt>
                <c:pt idx="10">
                  <c:v>FCZ11</c:v>
                </c:pt>
                <c:pt idx="11">
                  <c:v>FCZ12c</c:v>
                </c:pt>
                <c:pt idx="12">
                  <c:v>FCZ12i</c:v>
                </c:pt>
                <c:pt idx="13">
                  <c:v>FCZ13</c:v>
                </c:pt>
                <c:pt idx="14">
                  <c:v>FCZ16</c:v>
                </c:pt>
                <c:pt idx="15">
                  <c:v>FCZ17</c:v>
                </c:pt>
              </c:strCache>
            </c:strRef>
          </c:cat>
          <c:val>
            <c:numRef>
              <c:f>'Air compressor'!$D$3:$D$18</c:f>
              <c:numCache>
                <c:formatCode>0.0%</c:formatCode>
                <c:ptCount val="16"/>
                <c:pt idx="0">
                  <c:v>0.161273857109418</c:v>
                </c:pt>
                <c:pt idx="1">
                  <c:v>0.16046382703446699</c:v>
                </c:pt>
                <c:pt idx="2">
                  <c:v>0.17700837950041301</c:v>
                </c:pt>
                <c:pt idx="3">
                  <c:v>0.17700837950041301</c:v>
                </c:pt>
                <c:pt idx="4">
                  <c:v>0.11292693568274401</c:v>
                </c:pt>
                <c:pt idx="5">
                  <c:v>0.199487040179542</c:v>
                </c:pt>
                <c:pt idx="6">
                  <c:v>0.116203373710192</c:v>
                </c:pt>
                <c:pt idx="7">
                  <c:v>0.18247123569139501</c:v>
                </c:pt>
                <c:pt idx="8">
                  <c:v>0.26849571597838301</c:v>
                </c:pt>
                <c:pt idx="9">
                  <c:v>8.5403947628915303E-2</c:v>
                </c:pt>
                <c:pt idx="10">
                  <c:v>0.175347072814862</c:v>
                </c:pt>
                <c:pt idx="11">
                  <c:v>0.19805364112934601</c:v>
                </c:pt>
                <c:pt idx="12">
                  <c:v>0.15536718288441601</c:v>
                </c:pt>
                <c:pt idx="13">
                  <c:v>0.18422964650607099</c:v>
                </c:pt>
                <c:pt idx="14">
                  <c:v>0.15520541943038299</c:v>
                </c:pt>
                <c:pt idx="15">
                  <c:v>0.24877341410367701</c:v>
                </c:pt>
              </c:numCache>
            </c:numRef>
          </c:val>
          <c:extLst>
            <c:ext xmlns:c16="http://schemas.microsoft.com/office/drawing/2014/chart" uri="{C3380CC4-5D6E-409C-BE32-E72D297353CC}">
              <c16:uniqueId val="{00000000-9367-494F-849A-3ED196B75007}"/>
            </c:ext>
          </c:extLst>
        </c:ser>
        <c:dLbls>
          <c:showLegendKey val="0"/>
          <c:showVal val="0"/>
          <c:showCatName val="0"/>
          <c:showSerName val="0"/>
          <c:showPercent val="0"/>
          <c:showBubbleSize val="0"/>
        </c:dLbls>
        <c:gapWidth val="219"/>
        <c:overlap val="-27"/>
        <c:axId val="1767543855"/>
        <c:axId val="707281407"/>
      </c:barChart>
      <c:catAx>
        <c:axId val="17675438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7281407"/>
        <c:crosses val="autoZero"/>
        <c:auto val="1"/>
        <c:lblAlgn val="ctr"/>
        <c:lblOffset val="100"/>
        <c:noMultiLvlLbl val="0"/>
      </c:catAx>
      <c:valAx>
        <c:axId val="70728140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6754385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PNNL</a:t>
            </a:r>
            <a:r>
              <a:rPr lang="en-US" sz="1050" b="1"/>
              <a:t>:</a:t>
            </a:r>
            <a:r>
              <a:rPr lang="en-US" sz="1050"/>
              <a:t> </a:t>
            </a:r>
            <a:r>
              <a:rPr lang="en-US" sz="1050" b="0" i="0" u="none" strike="noStrike" kern="1200" spc="0" baseline="0">
                <a:solidFill>
                  <a:sysClr val="windowText" lastClr="000000"/>
                </a:solidFill>
              </a:rPr>
              <a:t>Occpancy Schedule- Small office</a:t>
            </a:r>
            <a:endParaRPr lang="en-US" sz="1050"/>
          </a:p>
        </c:rich>
      </c:tx>
      <c:layout>
        <c:manualLayout>
          <c:xMode val="edge"/>
          <c:yMode val="edge"/>
          <c:x val="0.19171028919591523"/>
          <c:y val="2.484122156218031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Occupnacy!$B$68</c:f>
              <c:strCache>
                <c:ptCount val="1"/>
                <c:pt idx="0">
                  <c:v>PNNL (Core+ 3 Perimeter)</c:v>
                </c:pt>
              </c:strCache>
            </c:strRef>
          </c:tx>
          <c:spPr>
            <a:ln w="28575" cap="rnd">
              <a:solidFill>
                <a:schemeClr val="accent1"/>
              </a:solidFill>
              <a:round/>
            </a:ln>
            <a:effectLst/>
          </c:spPr>
          <c:marker>
            <c:symbol val="none"/>
          </c:marker>
          <c:cat>
            <c:numRef>
              <c:f>Occupnacy!$A$69:$A$92</c:f>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numRef>
          </c:cat>
          <c:val>
            <c:numRef>
              <c:f>Occupnacy!$B$69:$B$92</c:f>
              <c:numCache>
                <c:formatCode>General</c:formatCode>
                <c:ptCount val="24"/>
                <c:pt idx="0">
                  <c:v>0</c:v>
                </c:pt>
                <c:pt idx="1">
                  <c:v>0</c:v>
                </c:pt>
                <c:pt idx="2">
                  <c:v>0</c:v>
                </c:pt>
                <c:pt idx="3">
                  <c:v>0</c:v>
                </c:pt>
                <c:pt idx="4">
                  <c:v>0</c:v>
                </c:pt>
                <c:pt idx="5">
                  <c:v>0</c:v>
                </c:pt>
                <c:pt idx="6">
                  <c:v>0.11</c:v>
                </c:pt>
                <c:pt idx="7">
                  <c:v>0.21</c:v>
                </c:pt>
                <c:pt idx="8">
                  <c:v>1</c:v>
                </c:pt>
                <c:pt idx="9">
                  <c:v>1</c:v>
                </c:pt>
                <c:pt idx="10">
                  <c:v>1</c:v>
                </c:pt>
                <c:pt idx="11">
                  <c:v>1</c:v>
                </c:pt>
                <c:pt idx="12">
                  <c:v>1</c:v>
                </c:pt>
                <c:pt idx="13">
                  <c:v>0.61</c:v>
                </c:pt>
                <c:pt idx="14">
                  <c:v>1</c:v>
                </c:pt>
                <c:pt idx="15">
                  <c:v>1</c:v>
                </c:pt>
                <c:pt idx="16">
                  <c:v>1</c:v>
                </c:pt>
                <c:pt idx="17">
                  <c:v>1</c:v>
                </c:pt>
                <c:pt idx="18">
                  <c:v>0.32</c:v>
                </c:pt>
                <c:pt idx="19">
                  <c:v>0.11</c:v>
                </c:pt>
                <c:pt idx="20">
                  <c:v>0.11</c:v>
                </c:pt>
                <c:pt idx="21">
                  <c:v>0.11</c:v>
                </c:pt>
                <c:pt idx="22">
                  <c:v>0.05</c:v>
                </c:pt>
                <c:pt idx="23">
                  <c:v>0</c:v>
                </c:pt>
              </c:numCache>
            </c:numRef>
          </c:val>
          <c:smooth val="0"/>
          <c:extLst>
            <c:ext xmlns:c16="http://schemas.microsoft.com/office/drawing/2014/chart" uri="{C3380CC4-5D6E-409C-BE32-E72D297353CC}">
              <c16:uniqueId val="{00000000-938C-4DAC-9E90-9F0246FEFFA8}"/>
            </c:ext>
          </c:extLst>
        </c:ser>
        <c:ser>
          <c:idx val="1"/>
          <c:order val="1"/>
          <c:tx>
            <c:strRef>
              <c:f>Occupnacy!$C$68</c:f>
              <c:strCache>
                <c:ptCount val="1"/>
                <c:pt idx="0">
                  <c:v>PNNL( 1 Perimeter)</c:v>
                </c:pt>
              </c:strCache>
            </c:strRef>
          </c:tx>
          <c:spPr>
            <a:ln w="28575" cap="rnd">
              <a:solidFill>
                <a:schemeClr val="accent2"/>
              </a:solidFill>
              <a:prstDash val="dash"/>
              <a:round/>
            </a:ln>
            <a:effectLst/>
          </c:spPr>
          <c:marker>
            <c:symbol val="none"/>
          </c:marker>
          <c:cat>
            <c:numRef>
              <c:f>Occupnacy!$A$69:$A$92</c:f>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numRef>
          </c:cat>
          <c:val>
            <c:numRef>
              <c:f>Occupnacy!$C$69:$C$92</c:f>
              <c:numCache>
                <c:formatCode>General</c:formatCode>
                <c:ptCount val="24"/>
                <c:pt idx="0">
                  <c:v>0</c:v>
                </c:pt>
                <c:pt idx="1">
                  <c:v>0</c:v>
                </c:pt>
                <c:pt idx="2">
                  <c:v>0</c:v>
                </c:pt>
                <c:pt idx="3">
                  <c:v>0</c:v>
                </c:pt>
                <c:pt idx="4">
                  <c:v>0</c:v>
                </c:pt>
                <c:pt idx="5">
                  <c:v>0</c:v>
                </c:pt>
                <c:pt idx="6">
                  <c:v>0.11</c:v>
                </c:pt>
                <c:pt idx="7">
                  <c:v>0.21</c:v>
                </c:pt>
                <c:pt idx="8">
                  <c:v>1</c:v>
                </c:pt>
                <c:pt idx="9">
                  <c:v>1</c:v>
                </c:pt>
                <c:pt idx="10">
                  <c:v>0</c:v>
                </c:pt>
                <c:pt idx="11">
                  <c:v>1</c:v>
                </c:pt>
                <c:pt idx="12">
                  <c:v>0</c:v>
                </c:pt>
                <c:pt idx="13">
                  <c:v>1</c:v>
                </c:pt>
                <c:pt idx="14">
                  <c:v>0</c:v>
                </c:pt>
                <c:pt idx="15">
                  <c:v>1</c:v>
                </c:pt>
                <c:pt idx="16">
                  <c:v>1</c:v>
                </c:pt>
                <c:pt idx="17">
                  <c:v>0.32</c:v>
                </c:pt>
                <c:pt idx="18">
                  <c:v>0.11</c:v>
                </c:pt>
                <c:pt idx="19">
                  <c:v>0.11</c:v>
                </c:pt>
                <c:pt idx="20">
                  <c:v>0.11</c:v>
                </c:pt>
                <c:pt idx="21">
                  <c:v>0.11</c:v>
                </c:pt>
                <c:pt idx="22">
                  <c:v>0.05</c:v>
                </c:pt>
                <c:pt idx="23">
                  <c:v>0</c:v>
                </c:pt>
              </c:numCache>
            </c:numRef>
          </c:val>
          <c:smooth val="0"/>
          <c:extLst>
            <c:ext xmlns:c16="http://schemas.microsoft.com/office/drawing/2014/chart" uri="{C3380CC4-5D6E-409C-BE32-E72D297353CC}">
              <c16:uniqueId val="{00000001-938C-4DAC-9E90-9F0246FEFFA8}"/>
            </c:ext>
          </c:extLst>
        </c:ser>
        <c:dLbls>
          <c:showLegendKey val="0"/>
          <c:showVal val="0"/>
          <c:showCatName val="0"/>
          <c:showSerName val="0"/>
          <c:showPercent val="0"/>
          <c:showBubbleSize val="0"/>
        </c:dLbls>
        <c:smooth val="0"/>
        <c:axId val="1948449903"/>
        <c:axId val="1948435023"/>
      </c:lineChart>
      <c:catAx>
        <c:axId val="19484499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8435023"/>
        <c:crosses val="autoZero"/>
        <c:auto val="1"/>
        <c:lblAlgn val="ctr"/>
        <c:lblOffset val="100"/>
        <c:noMultiLvlLbl val="0"/>
      </c:catAx>
      <c:valAx>
        <c:axId val="1948435023"/>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84499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DEER</a:t>
            </a:r>
            <a:r>
              <a:rPr lang="en-US"/>
              <a:t>: </a:t>
            </a:r>
            <a:r>
              <a:rPr lang="en-US" sz="1050" b="0" i="0" u="none" strike="noStrike" kern="1200" spc="0" baseline="0">
                <a:solidFill>
                  <a:sysClr val="windowText" lastClr="000000"/>
                </a:solidFill>
              </a:rPr>
              <a:t>Occpancy Schedule- Small office</a:t>
            </a:r>
            <a:endParaRPr lang="en-US" sz="105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2"/>
          <c:order val="2"/>
          <c:tx>
            <c:strRef>
              <c:f>Occupnacy!$E$68</c:f>
              <c:strCache>
                <c:ptCount val="1"/>
                <c:pt idx="0">
                  <c:v>DEER Normal day</c:v>
                </c:pt>
              </c:strCache>
            </c:strRef>
          </c:tx>
          <c:spPr>
            <a:ln w="28575" cap="rnd">
              <a:solidFill>
                <a:schemeClr val="accent3"/>
              </a:solidFill>
              <a:round/>
            </a:ln>
            <a:effectLst/>
          </c:spPr>
          <c:marker>
            <c:symbol val="none"/>
          </c:marker>
          <c:cat>
            <c:numRef>
              <c:f>Occupnacy!$A$69:$A$92</c:f>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numRef>
          </c:cat>
          <c:val>
            <c:numRef>
              <c:f>Occupnacy!$E$69:$E$92</c:f>
              <c:numCache>
                <c:formatCode>General</c:formatCode>
                <c:ptCount val="24"/>
                <c:pt idx="0">
                  <c:v>0</c:v>
                </c:pt>
                <c:pt idx="1">
                  <c:v>0</c:v>
                </c:pt>
                <c:pt idx="2">
                  <c:v>0</c:v>
                </c:pt>
                <c:pt idx="3">
                  <c:v>0</c:v>
                </c:pt>
                <c:pt idx="4">
                  <c:v>0</c:v>
                </c:pt>
                <c:pt idx="5">
                  <c:v>0</c:v>
                </c:pt>
                <c:pt idx="6">
                  <c:v>0.1</c:v>
                </c:pt>
                <c:pt idx="7">
                  <c:v>0.2</c:v>
                </c:pt>
                <c:pt idx="8">
                  <c:v>0.95</c:v>
                </c:pt>
                <c:pt idx="9">
                  <c:v>0.95</c:v>
                </c:pt>
                <c:pt idx="10">
                  <c:v>0.95</c:v>
                </c:pt>
                <c:pt idx="11">
                  <c:v>0.95</c:v>
                </c:pt>
                <c:pt idx="12">
                  <c:v>0.5</c:v>
                </c:pt>
                <c:pt idx="13">
                  <c:v>0.95</c:v>
                </c:pt>
                <c:pt idx="14">
                  <c:v>0.95</c:v>
                </c:pt>
                <c:pt idx="15">
                  <c:v>0.95</c:v>
                </c:pt>
                <c:pt idx="16">
                  <c:v>0.95</c:v>
                </c:pt>
                <c:pt idx="17">
                  <c:v>0.3</c:v>
                </c:pt>
                <c:pt idx="18">
                  <c:v>0.1</c:v>
                </c:pt>
                <c:pt idx="19">
                  <c:v>0.1</c:v>
                </c:pt>
                <c:pt idx="20">
                  <c:v>0.1</c:v>
                </c:pt>
                <c:pt idx="21">
                  <c:v>0.1</c:v>
                </c:pt>
                <c:pt idx="22">
                  <c:v>0.05</c:v>
                </c:pt>
                <c:pt idx="23">
                  <c:v>0.05</c:v>
                </c:pt>
              </c:numCache>
            </c:numRef>
          </c:val>
          <c:smooth val="0"/>
          <c:extLst>
            <c:ext xmlns:c16="http://schemas.microsoft.com/office/drawing/2014/chart" uri="{C3380CC4-5D6E-409C-BE32-E72D297353CC}">
              <c16:uniqueId val="{00000000-B6E7-4267-AE9D-6157B45EA6EA}"/>
            </c:ext>
          </c:extLst>
        </c:ser>
        <c:ser>
          <c:idx val="3"/>
          <c:order val="3"/>
          <c:tx>
            <c:strRef>
              <c:f>Occupnacy!$F$68</c:f>
              <c:strCache>
                <c:ptCount val="1"/>
                <c:pt idx="0">
                  <c:v>DEER Saturday</c:v>
                </c:pt>
              </c:strCache>
              <c:extLst xmlns:c15="http://schemas.microsoft.com/office/drawing/2012/chart"/>
            </c:strRef>
          </c:tx>
          <c:spPr>
            <a:ln w="28575" cap="rnd">
              <a:solidFill>
                <a:schemeClr val="accent4"/>
              </a:solidFill>
              <a:round/>
            </a:ln>
            <a:effectLst/>
          </c:spPr>
          <c:marker>
            <c:symbol val="none"/>
          </c:marker>
          <c:cat>
            <c:numRef>
              <c:f>Occupnacy!$A$69:$A$92</c:f>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extLst xmlns:c15="http://schemas.microsoft.com/office/drawing/2012/chart"/>
            </c:numRef>
          </c:cat>
          <c:val>
            <c:numRef>
              <c:f>Occupnacy!$F$69:$F$92</c:f>
              <c:numCache>
                <c:formatCode>General</c:formatCode>
                <c:ptCount val="24"/>
                <c:pt idx="0">
                  <c:v>0</c:v>
                </c:pt>
                <c:pt idx="1">
                  <c:v>0</c:v>
                </c:pt>
                <c:pt idx="2">
                  <c:v>0</c:v>
                </c:pt>
                <c:pt idx="3">
                  <c:v>0</c:v>
                </c:pt>
                <c:pt idx="4">
                  <c:v>0</c:v>
                </c:pt>
                <c:pt idx="5">
                  <c:v>0</c:v>
                </c:pt>
                <c:pt idx="6">
                  <c:v>0.1</c:v>
                </c:pt>
                <c:pt idx="7">
                  <c:v>0.1</c:v>
                </c:pt>
                <c:pt idx="8">
                  <c:v>0.3</c:v>
                </c:pt>
                <c:pt idx="9">
                  <c:v>0.3</c:v>
                </c:pt>
                <c:pt idx="10">
                  <c:v>0.3</c:v>
                </c:pt>
                <c:pt idx="11">
                  <c:v>0.3</c:v>
                </c:pt>
                <c:pt idx="12">
                  <c:v>0.1</c:v>
                </c:pt>
                <c:pt idx="13">
                  <c:v>0.1</c:v>
                </c:pt>
                <c:pt idx="14">
                  <c:v>0.1</c:v>
                </c:pt>
                <c:pt idx="15">
                  <c:v>0.1</c:v>
                </c:pt>
                <c:pt idx="16">
                  <c:v>0.1</c:v>
                </c:pt>
                <c:pt idx="17">
                  <c:v>0.05</c:v>
                </c:pt>
                <c:pt idx="18">
                  <c:v>0.05</c:v>
                </c:pt>
                <c:pt idx="19">
                  <c:v>0</c:v>
                </c:pt>
                <c:pt idx="20">
                  <c:v>0</c:v>
                </c:pt>
                <c:pt idx="21">
                  <c:v>0</c:v>
                </c:pt>
                <c:pt idx="22">
                  <c:v>0</c:v>
                </c:pt>
                <c:pt idx="23">
                  <c:v>0</c:v>
                </c:pt>
              </c:numCache>
              <c:extLst xmlns:c15="http://schemas.microsoft.com/office/drawing/2012/chart"/>
            </c:numRef>
          </c:val>
          <c:smooth val="0"/>
          <c:extLst>
            <c:ext xmlns:c16="http://schemas.microsoft.com/office/drawing/2014/chart" uri="{C3380CC4-5D6E-409C-BE32-E72D297353CC}">
              <c16:uniqueId val="{00000001-B6E7-4267-AE9D-6157B45EA6EA}"/>
            </c:ext>
          </c:extLst>
        </c:ser>
        <c:ser>
          <c:idx val="4"/>
          <c:order val="4"/>
          <c:tx>
            <c:strRef>
              <c:f>Occupnacy!$G$68</c:f>
              <c:strCache>
                <c:ptCount val="1"/>
                <c:pt idx="0">
                  <c:v>DEER (Other day)</c:v>
                </c:pt>
              </c:strCache>
              <c:extLst xmlns:c15="http://schemas.microsoft.com/office/drawing/2012/chart"/>
            </c:strRef>
          </c:tx>
          <c:spPr>
            <a:ln w="28575" cap="rnd">
              <a:solidFill>
                <a:schemeClr val="accent5"/>
              </a:solidFill>
              <a:round/>
            </a:ln>
            <a:effectLst/>
          </c:spPr>
          <c:marker>
            <c:symbol val="none"/>
          </c:marker>
          <c:cat>
            <c:numRef>
              <c:f>Occupnacy!$A$69:$A$92</c:f>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extLst xmlns:c15="http://schemas.microsoft.com/office/drawing/2012/chart"/>
            </c:numRef>
          </c:cat>
          <c:val>
            <c:numRef>
              <c:f>Occupnacy!$G$69:$G$92</c:f>
              <c:numCache>
                <c:formatCode>General</c:formatCode>
                <c:ptCount val="24"/>
                <c:pt idx="0">
                  <c:v>0</c:v>
                </c:pt>
                <c:pt idx="1">
                  <c:v>0</c:v>
                </c:pt>
                <c:pt idx="2">
                  <c:v>0</c:v>
                </c:pt>
                <c:pt idx="3">
                  <c:v>0</c:v>
                </c:pt>
                <c:pt idx="4">
                  <c:v>0</c:v>
                </c:pt>
                <c:pt idx="5">
                  <c:v>0</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c:v>
                </c:pt>
                <c:pt idx="19">
                  <c:v>0</c:v>
                </c:pt>
                <c:pt idx="20">
                  <c:v>0</c:v>
                </c:pt>
                <c:pt idx="21">
                  <c:v>0</c:v>
                </c:pt>
                <c:pt idx="22">
                  <c:v>0</c:v>
                </c:pt>
                <c:pt idx="23">
                  <c:v>0</c:v>
                </c:pt>
              </c:numCache>
              <c:extLst xmlns:c15="http://schemas.microsoft.com/office/drawing/2012/chart"/>
            </c:numRef>
          </c:val>
          <c:smooth val="0"/>
          <c:extLst>
            <c:ext xmlns:c16="http://schemas.microsoft.com/office/drawing/2014/chart" uri="{C3380CC4-5D6E-409C-BE32-E72D297353CC}">
              <c16:uniqueId val="{00000002-B6E7-4267-AE9D-6157B45EA6EA}"/>
            </c:ext>
          </c:extLst>
        </c:ser>
        <c:dLbls>
          <c:showLegendKey val="0"/>
          <c:showVal val="0"/>
          <c:showCatName val="0"/>
          <c:showSerName val="0"/>
          <c:showPercent val="0"/>
          <c:showBubbleSize val="0"/>
        </c:dLbls>
        <c:smooth val="0"/>
        <c:axId val="125811183"/>
        <c:axId val="125833263"/>
        <c:extLst>
          <c:ext xmlns:c15="http://schemas.microsoft.com/office/drawing/2012/chart" uri="{02D57815-91ED-43cb-92C2-25804820EDAC}">
            <c15:filteredLineSeries>
              <c15:ser>
                <c:idx val="0"/>
                <c:order val="0"/>
                <c:tx>
                  <c:strRef>
                    <c:extLst>
                      <c:ext uri="{02D57815-91ED-43cb-92C2-25804820EDAC}">
                        <c15:formulaRef>
                          <c15:sqref>Occupnacy!$B$68</c15:sqref>
                        </c15:formulaRef>
                      </c:ext>
                    </c:extLst>
                    <c:strCache>
                      <c:ptCount val="1"/>
                      <c:pt idx="0">
                        <c:v>PNNL (Core+ 3 Perimeter)</c:v>
                      </c:pt>
                    </c:strCache>
                  </c:strRef>
                </c:tx>
                <c:spPr>
                  <a:ln w="28575" cap="rnd">
                    <a:solidFill>
                      <a:schemeClr val="accent1"/>
                    </a:solidFill>
                    <a:round/>
                  </a:ln>
                  <a:effectLst/>
                </c:spPr>
                <c:marker>
                  <c:symbol val="none"/>
                </c:marker>
                <c:cat>
                  <c:numRef>
                    <c:extLst>
                      <c:ext uri="{02D57815-91ED-43cb-92C2-25804820EDAC}">
                        <c15:formulaRef>
                          <c15:sqref>Occupnacy!$A$69:$A$92</c15:sqref>
                        </c15:formulaRef>
                      </c:ext>
                    </c:extLst>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numRef>
                </c:cat>
                <c:val>
                  <c:numRef>
                    <c:extLst>
                      <c:ext uri="{02D57815-91ED-43cb-92C2-25804820EDAC}">
                        <c15:formulaRef>
                          <c15:sqref>Occupnacy!$B$69:$B$92</c15:sqref>
                        </c15:formulaRef>
                      </c:ext>
                    </c:extLst>
                    <c:numCache>
                      <c:formatCode>General</c:formatCode>
                      <c:ptCount val="24"/>
                      <c:pt idx="0">
                        <c:v>0</c:v>
                      </c:pt>
                      <c:pt idx="1">
                        <c:v>0</c:v>
                      </c:pt>
                      <c:pt idx="2">
                        <c:v>0</c:v>
                      </c:pt>
                      <c:pt idx="3">
                        <c:v>0</c:v>
                      </c:pt>
                      <c:pt idx="4">
                        <c:v>0</c:v>
                      </c:pt>
                      <c:pt idx="5">
                        <c:v>0</c:v>
                      </c:pt>
                      <c:pt idx="6">
                        <c:v>0.11</c:v>
                      </c:pt>
                      <c:pt idx="7">
                        <c:v>0.21</c:v>
                      </c:pt>
                      <c:pt idx="8">
                        <c:v>1</c:v>
                      </c:pt>
                      <c:pt idx="9">
                        <c:v>1</c:v>
                      </c:pt>
                      <c:pt idx="10">
                        <c:v>1</c:v>
                      </c:pt>
                      <c:pt idx="11">
                        <c:v>1</c:v>
                      </c:pt>
                      <c:pt idx="12">
                        <c:v>1</c:v>
                      </c:pt>
                      <c:pt idx="13">
                        <c:v>0.61</c:v>
                      </c:pt>
                      <c:pt idx="14">
                        <c:v>1</c:v>
                      </c:pt>
                      <c:pt idx="15">
                        <c:v>1</c:v>
                      </c:pt>
                      <c:pt idx="16">
                        <c:v>1</c:v>
                      </c:pt>
                      <c:pt idx="17">
                        <c:v>1</c:v>
                      </c:pt>
                      <c:pt idx="18">
                        <c:v>0.32</c:v>
                      </c:pt>
                      <c:pt idx="19">
                        <c:v>0.11</c:v>
                      </c:pt>
                      <c:pt idx="20">
                        <c:v>0.11</c:v>
                      </c:pt>
                      <c:pt idx="21">
                        <c:v>0.11</c:v>
                      </c:pt>
                      <c:pt idx="22">
                        <c:v>0.05</c:v>
                      </c:pt>
                      <c:pt idx="23">
                        <c:v>0</c:v>
                      </c:pt>
                    </c:numCache>
                  </c:numRef>
                </c:val>
                <c:smooth val="0"/>
                <c:extLst>
                  <c:ext xmlns:c16="http://schemas.microsoft.com/office/drawing/2014/chart" uri="{C3380CC4-5D6E-409C-BE32-E72D297353CC}">
                    <c16:uniqueId val="{00000003-B6E7-4267-AE9D-6157B45EA6EA}"/>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Occupnacy!$C$68</c15:sqref>
                        </c15:formulaRef>
                      </c:ext>
                    </c:extLst>
                    <c:strCache>
                      <c:ptCount val="1"/>
                      <c:pt idx="0">
                        <c:v>PNNL( 1 Perimeter)</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Occupnacy!$A$69:$A$92</c15:sqref>
                        </c15:formulaRef>
                      </c:ext>
                    </c:extLst>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numRef>
                </c:cat>
                <c:val>
                  <c:numRef>
                    <c:extLst xmlns:c15="http://schemas.microsoft.com/office/drawing/2012/chart">
                      <c:ext xmlns:c15="http://schemas.microsoft.com/office/drawing/2012/chart" uri="{02D57815-91ED-43cb-92C2-25804820EDAC}">
                        <c15:formulaRef>
                          <c15:sqref>Occupnacy!$C$69:$C$92</c15:sqref>
                        </c15:formulaRef>
                      </c:ext>
                    </c:extLst>
                    <c:numCache>
                      <c:formatCode>General</c:formatCode>
                      <c:ptCount val="24"/>
                      <c:pt idx="0">
                        <c:v>0</c:v>
                      </c:pt>
                      <c:pt idx="1">
                        <c:v>0</c:v>
                      </c:pt>
                      <c:pt idx="2">
                        <c:v>0</c:v>
                      </c:pt>
                      <c:pt idx="3">
                        <c:v>0</c:v>
                      </c:pt>
                      <c:pt idx="4">
                        <c:v>0</c:v>
                      </c:pt>
                      <c:pt idx="5">
                        <c:v>0</c:v>
                      </c:pt>
                      <c:pt idx="6">
                        <c:v>0.11</c:v>
                      </c:pt>
                      <c:pt idx="7">
                        <c:v>0.21</c:v>
                      </c:pt>
                      <c:pt idx="8">
                        <c:v>1</c:v>
                      </c:pt>
                      <c:pt idx="9">
                        <c:v>1</c:v>
                      </c:pt>
                      <c:pt idx="10">
                        <c:v>0</c:v>
                      </c:pt>
                      <c:pt idx="11">
                        <c:v>1</c:v>
                      </c:pt>
                      <c:pt idx="12">
                        <c:v>0</c:v>
                      </c:pt>
                      <c:pt idx="13">
                        <c:v>1</c:v>
                      </c:pt>
                      <c:pt idx="14">
                        <c:v>0</c:v>
                      </c:pt>
                      <c:pt idx="15">
                        <c:v>1</c:v>
                      </c:pt>
                      <c:pt idx="16">
                        <c:v>1</c:v>
                      </c:pt>
                      <c:pt idx="17">
                        <c:v>0.32</c:v>
                      </c:pt>
                      <c:pt idx="18">
                        <c:v>0.11</c:v>
                      </c:pt>
                      <c:pt idx="19">
                        <c:v>0.11</c:v>
                      </c:pt>
                      <c:pt idx="20">
                        <c:v>0.11</c:v>
                      </c:pt>
                      <c:pt idx="21">
                        <c:v>0.11</c:v>
                      </c:pt>
                      <c:pt idx="22">
                        <c:v>0.05</c:v>
                      </c:pt>
                      <c:pt idx="23">
                        <c:v>0</c:v>
                      </c:pt>
                    </c:numCache>
                  </c:numRef>
                </c:val>
                <c:smooth val="0"/>
                <c:extLst xmlns:c15="http://schemas.microsoft.com/office/drawing/2012/chart">
                  <c:ext xmlns:c16="http://schemas.microsoft.com/office/drawing/2014/chart" uri="{C3380CC4-5D6E-409C-BE32-E72D297353CC}">
                    <c16:uniqueId val="{00000004-B6E7-4267-AE9D-6157B45EA6EA}"/>
                  </c:ext>
                </c:extLst>
              </c15:ser>
            </c15:filteredLineSeries>
          </c:ext>
        </c:extLst>
      </c:lineChart>
      <c:catAx>
        <c:axId val="1258111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833263"/>
        <c:crosses val="autoZero"/>
        <c:auto val="1"/>
        <c:lblAlgn val="ctr"/>
        <c:lblOffset val="100"/>
        <c:noMultiLvlLbl val="0"/>
      </c:catAx>
      <c:valAx>
        <c:axId val="12583326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8111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withinLinear" id="14">
  <a:schemeClr val="accent1"/>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withinLinear" id="14">
  <a:schemeClr val="accent1"/>
</cs:colorStyle>
</file>

<file path=xl/charts/colors27.xml><?xml version="1.0" encoding="utf-8"?>
<cs:colorStyle xmlns:cs="http://schemas.microsoft.com/office/drawing/2012/chartStyle" xmlns:a="http://schemas.openxmlformats.org/drawingml/2006/main" meth="withinLinear" id="14">
  <a:schemeClr val="accent1"/>
</cs:colorStyle>
</file>

<file path=xl/charts/colors28.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0.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s>
</file>

<file path=xl/drawings/_rels/drawing15.xml.rels><?xml version="1.0" encoding="UTF-8" standalone="yes"?>
<Relationships xmlns="http://schemas.openxmlformats.org/package/2006/relationships"><Relationship Id="rId8" Type="http://schemas.openxmlformats.org/officeDocument/2006/relationships/chart" Target="../charts/chart18.xml"/><Relationship Id="rId13" Type="http://schemas.openxmlformats.org/officeDocument/2006/relationships/chart" Target="../charts/chart23.xml"/><Relationship Id="rId3" Type="http://schemas.openxmlformats.org/officeDocument/2006/relationships/chart" Target="../charts/chart13.xml"/><Relationship Id="rId7" Type="http://schemas.openxmlformats.org/officeDocument/2006/relationships/chart" Target="../charts/chart17.xml"/><Relationship Id="rId12" Type="http://schemas.openxmlformats.org/officeDocument/2006/relationships/chart" Target="../charts/chart22.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11" Type="http://schemas.openxmlformats.org/officeDocument/2006/relationships/chart" Target="../charts/chart21.xml"/><Relationship Id="rId5" Type="http://schemas.openxmlformats.org/officeDocument/2006/relationships/chart" Target="../charts/chart15.xml"/><Relationship Id="rId10" Type="http://schemas.openxmlformats.org/officeDocument/2006/relationships/chart" Target="../charts/chart20.xml"/><Relationship Id="rId4" Type="http://schemas.openxmlformats.org/officeDocument/2006/relationships/chart" Target="../charts/chart14.xml"/><Relationship Id="rId9" Type="http://schemas.openxmlformats.org/officeDocument/2006/relationships/chart" Target="../charts/chart19.xml"/><Relationship Id="rId14" Type="http://schemas.openxmlformats.org/officeDocument/2006/relationships/chart" Target="../charts/chart24.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 Id="rId4" Type="http://schemas.openxmlformats.org/officeDocument/2006/relationships/chart" Target="../charts/chart28.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43180</xdr:colOff>
      <xdr:row>1</xdr:row>
      <xdr:rowOff>50800</xdr:rowOff>
    </xdr:from>
    <xdr:to>
      <xdr:col>14</xdr:col>
      <xdr:colOff>2540</xdr:colOff>
      <xdr:row>41</xdr:row>
      <xdr:rowOff>101600</xdr:rowOff>
    </xdr:to>
    <xdr:sp macro="" textlink="">
      <xdr:nvSpPr>
        <xdr:cNvPr id="176" name="TextBox 1">
          <a:extLst>
            <a:ext uri="{FF2B5EF4-FFF2-40B4-BE49-F238E27FC236}">
              <a16:creationId xmlns:a16="http://schemas.microsoft.com/office/drawing/2014/main" id="{7483AF58-9D25-DBB9-C5E8-BB9E05801D5E}"/>
            </a:ext>
          </a:extLst>
        </xdr:cNvPr>
        <xdr:cNvSpPr txBox="1"/>
      </xdr:nvSpPr>
      <xdr:spPr>
        <a:xfrm>
          <a:off x="43180" y="508000"/>
          <a:ext cx="10398760" cy="728980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pPr rtl="0" fontAlgn="base"/>
          <a:r>
            <a:rPr lang="en-US" sz="1200" b="1" i="0" u="none" strike="noStrike">
              <a:solidFill>
                <a:schemeClr val="dk1"/>
              </a:solidFill>
              <a:effectLst/>
              <a:latin typeface="+mn-lt"/>
              <a:ea typeface="+mn-ea"/>
              <a:cs typeface="+mn-cs"/>
            </a:rPr>
            <a:t>Introduction</a:t>
          </a:r>
        </a:p>
        <a:p>
          <a:pPr rtl="0" fontAlgn="base"/>
          <a:r>
            <a:rPr lang="en-US" sz="1200" b="0" i="0" u="none" strike="noStrike">
              <a:solidFill>
                <a:schemeClr val="dk1"/>
              </a:solidFill>
              <a:effectLst/>
              <a:latin typeface="+mn-lt"/>
              <a:ea typeface="+mn-ea"/>
              <a:cs typeface="+mn-cs"/>
            </a:rPr>
            <a:t>The information in the tabs of this spreadsheet describe a proposed building energy model prototype for Indoor Controlled Environment Horticulture facilities with high lighting intensities, such as indoor cannabis farms. This prototype is being considered for inclusion in the 2028 Alternative Calculations Methods (ACM) and the 2028 version of California's Building Energy Code Compliance Software (CBECC).  </a:t>
          </a:r>
        </a:p>
        <a:p>
          <a:pPr rtl="0" fontAlgn="base"/>
          <a:endParaRPr lang="en-US" sz="1200" b="0" i="0" u="none" strike="noStrike">
            <a:solidFill>
              <a:schemeClr val="dk1"/>
            </a:solidFill>
            <a:effectLst/>
            <a:latin typeface="+mn-lt"/>
            <a:ea typeface="+mn-ea"/>
            <a:cs typeface="+mn-cs"/>
          </a:endParaRPr>
        </a:p>
        <a:p>
          <a:pPr rtl="0" fontAlgn="base"/>
          <a:r>
            <a:rPr lang="en-US" sz="1200" b="0" i="0" u="none" strike="noStrike">
              <a:solidFill>
                <a:schemeClr val="dk1"/>
              </a:solidFill>
              <a:effectLst/>
              <a:latin typeface="+mn-lt"/>
              <a:ea typeface="+mn-ea"/>
              <a:cs typeface="+mn-cs"/>
            </a:rPr>
            <a:t>The proposed prototype would be applicable only for Indoor CEH Buildings (those with &lt;50% skylight ratio) that have at least one room with lighting power density</a:t>
          </a:r>
          <a:r>
            <a:rPr lang="en-US" sz="1200" b="0" i="0" u="none" strike="noStrike" baseline="0">
              <a:solidFill>
                <a:schemeClr val="dk1"/>
              </a:solidFill>
              <a:effectLst/>
              <a:latin typeface="+mn-lt"/>
              <a:ea typeface="+mn-ea"/>
              <a:cs typeface="+mn-cs"/>
            </a:rPr>
            <a:t> above 30W per canopy square foot.</a:t>
          </a:r>
          <a:endParaRPr lang="en-US" sz="1200" b="0" i="0" u="none" strike="noStrike">
            <a:solidFill>
              <a:schemeClr val="dk1"/>
            </a:solidFill>
            <a:effectLst/>
            <a:latin typeface="+mn-lt"/>
            <a:ea typeface="+mn-ea"/>
            <a:cs typeface="+mn-cs"/>
          </a:endParaRPr>
        </a:p>
        <a:p>
          <a:pPr rtl="0" fontAlgn="base"/>
          <a:endParaRPr lang="en-US" sz="1200" b="0" i="0" u="none" strike="noStrike">
            <a:solidFill>
              <a:schemeClr val="dk1"/>
            </a:solidFill>
            <a:effectLst/>
            <a:latin typeface="+mn-lt"/>
            <a:ea typeface="+mn-ea"/>
            <a:cs typeface="+mn-cs"/>
          </a:endParaRPr>
        </a:p>
        <a:p>
          <a:pPr rtl="0" fontAlgn="base"/>
          <a:r>
            <a:rPr lang="en-US" sz="1200" b="1" i="0" u="none" strike="noStrike">
              <a:solidFill>
                <a:schemeClr val="dk1"/>
              </a:solidFill>
              <a:effectLst/>
              <a:latin typeface="+mn-lt"/>
              <a:ea typeface="+mn-ea"/>
              <a:cs typeface="+mn-cs"/>
            </a:rPr>
            <a:t>Building Energy Model Prototypes</a:t>
          </a:r>
        </a:p>
        <a:p>
          <a:pPr rtl="0" fontAlgn="base"/>
          <a:r>
            <a:rPr lang="en-US" sz="1200" b="0" i="0" u="none" strike="noStrike">
              <a:solidFill>
                <a:schemeClr val="dk1"/>
              </a:solidFill>
              <a:effectLst/>
              <a:latin typeface="+mn-lt"/>
              <a:ea typeface="+mn-ea"/>
              <a:cs typeface="+mn-cs"/>
            </a:rPr>
            <a:t>Building energy model prototypes represent typical building types within the state and incorporate minimum energy efficiency and load management requirements from California's Energy Code (California Code of Regulations, Title 24, Part 6). </a:t>
          </a:r>
        </a:p>
        <a:p>
          <a:pPr rtl="0" fontAlgn="base"/>
          <a:endParaRPr lang="en-US" sz="1200" b="0" i="0" u="none" strike="noStrike">
            <a:solidFill>
              <a:schemeClr val="dk1"/>
            </a:solidFill>
            <a:effectLst/>
            <a:latin typeface="+mn-lt"/>
            <a:ea typeface="+mn-ea"/>
            <a:cs typeface="+mn-cs"/>
          </a:endParaRPr>
        </a:p>
        <a:p>
          <a:pPr marL="0" marR="0" lvl="0" indent="0" defTabSz="914400" rtl="0" eaLnBrk="1" fontAlgn="base" latinLnBrk="0" hangingPunct="1">
            <a:lnSpc>
              <a:spcPct val="100000"/>
            </a:lnSpc>
            <a:spcBef>
              <a:spcPts val="0"/>
            </a:spcBef>
            <a:spcAft>
              <a:spcPts val="0"/>
            </a:spcAft>
            <a:buClrTx/>
            <a:buSzTx/>
            <a:buFontTx/>
            <a:buNone/>
            <a:tabLst/>
            <a:defRPr/>
          </a:pPr>
          <a:r>
            <a:rPr lang="en-US" sz="1200" b="0" i="0" u="none" strike="noStrike">
              <a:solidFill>
                <a:schemeClr val="dk1"/>
              </a:solidFill>
              <a:effectLst/>
              <a:latin typeface="+mn-lt"/>
              <a:ea typeface="+mn-ea"/>
              <a:cs typeface="+mn-cs"/>
            </a:rPr>
            <a:t>Prototypes are  used as the standard design (baseline) model for the performance method of complying with Building Energy Efficiency Standards. The performance method provides flexibility to trade-off the energy performance of different components to achieve compliance. When a proposed design is modeled, compliance is demonstrated if the overall energy performance is equal to or better than the standard design's performance.  </a:t>
          </a:r>
        </a:p>
        <a:p>
          <a:pPr rtl="0" fontAlgn="base"/>
          <a:endParaRPr lang="en-US" sz="1200" b="0" i="0" u="none" strike="noStrike">
            <a:solidFill>
              <a:schemeClr val="dk1"/>
            </a:solidFill>
            <a:effectLst/>
            <a:latin typeface="+mn-lt"/>
            <a:ea typeface="+mn-ea"/>
            <a:cs typeface="+mn-cs"/>
          </a:endParaRPr>
        </a:p>
        <a:p>
          <a:pPr rtl="0" fontAlgn="base"/>
          <a:r>
            <a:rPr lang="en-US" sz="1200" b="0" i="0" u="none" strike="noStrike">
              <a:solidFill>
                <a:schemeClr val="dk1"/>
              </a:solidFill>
              <a:effectLst/>
              <a:latin typeface="+mn-lt"/>
              <a:ea typeface="+mn-ea"/>
              <a:cs typeface="+mn-cs"/>
            </a:rPr>
            <a:t>The impact of proposed code change measures is also evaluated in energy models of these prototype buildings, and statewide impacts of measures are estimated based on the statewide distribution of each building type by climate zone. These prototypes include general building characteristics, such as layouts and zones, and building envelope and space-type specific characteristics, such as HVAC system, ventilation, lighting intensity, lighting schedules, occupancy schedules, plant transpiration schedules, temperature setpoint schedules, and humidity setpoint schedules. </a:t>
          </a:r>
        </a:p>
        <a:p>
          <a:pPr rtl="0" fontAlgn="base"/>
          <a:r>
            <a:rPr lang="en-US" sz="1200" b="0" i="0" u="none" strike="noStrike">
              <a:solidFill>
                <a:schemeClr val="dk1"/>
              </a:solidFill>
              <a:effectLst/>
              <a:latin typeface="+mn-lt"/>
              <a:ea typeface="+mn-ea"/>
              <a:cs typeface="+mn-cs"/>
            </a:rPr>
            <a:t>  </a:t>
          </a:r>
        </a:p>
        <a:p>
          <a:pPr rtl="0" fontAlgn="base"/>
          <a:r>
            <a:rPr lang="en-US" sz="1200" b="1" i="0" u="none" strike="noStrike">
              <a:solidFill>
                <a:schemeClr val="dk1"/>
              </a:solidFill>
              <a:effectLst/>
              <a:latin typeface="+mn-lt"/>
              <a:ea typeface="+mn-ea"/>
              <a:cs typeface="+mn-cs"/>
            </a:rPr>
            <a:t>The Proposed Indoor CEH Building Prototype</a:t>
          </a:r>
        </a:p>
        <a:p>
          <a:pPr rtl="0" fontAlgn="base"/>
          <a:r>
            <a:rPr lang="en-US" sz="1200" b="0" i="0" u="none" strike="noStrike">
              <a:solidFill>
                <a:schemeClr val="dk1"/>
              </a:solidFill>
              <a:effectLst/>
              <a:latin typeface="+mn-lt"/>
              <a:ea typeface="+mn-ea"/>
              <a:cs typeface="+mn-cs"/>
            </a:rPr>
            <a:t> The proposed Indoor CEH building prototype will introduce new horticulture-specific space types, commonly found in high-lighting intensity indoor farms. These new space types include cloning, vegetative, and flowering rooms for different stages of plant growth, as well as a plant drying room and a processing room for trimming, packaging, and other processing. </a:t>
          </a:r>
        </a:p>
        <a:p>
          <a:pPr rtl="0" fontAlgn="base"/>
          <a:endParaRPr lang="en-US" sz="1200" b="0" i="0" u="none" strike="noStrike">
            <a:solidFill>
              <a:schemeClr val="dk1"/>
            </a:solidFill>
            <a:effectLst/>
            <a:latin typeface="+mn-lt"/>
            <a:ea typeface="+mn-ea"/>
            <a:cs typeface="+mn-cs"/>
          </a:endParaRPr>
        </a:p>
        <a:p>
          <a:pPr rtl="0" fontAlgn="base"/>
          <a:r>
            <a:rPr lang="en-US" sz="1200" b="1" i="0" u="none" strike="noStrike">
              <a:solidFill>
                <a:schemeClr val="dk1"/>
              </a:solidFill>
              <a:effectLst/>
              <a:latin typeface="+mn-lt"/>
              <a:ea typeface="+mn-ea"/>
              <a:cs typeface="+mn-cs"/>
            </a:rPr>
            <a:t>Why is </a:t>
          </a:r>
          <a:r>
            <a:rPr lang="en-US" sz="1200" b="1" i="0" u="none" strike="noStrike" baseline="0">
              <a:solidFill>
                <a:schemeClr val="dk1"/>
              </a:solidFill>
              <a:effectLst/>
              <a:latin typeface="+mn-lt"/>
              <a:ea typeface="+mn-ea"/>
              <a:cs typeface="+mn-cs"/>
            </a:rPr>
            <a:t>an Indoor CEH Building Prototype Being Developed?</a:t>
          </a:r>
          <a:endParaRPr lang="en-US" sz="1200" b="1" i="0" u="none" strike="noStrike">
            <a:solidFill>
              <a:schemeClr val="dk1"/>
            </a:solidFill>
            <a:effectLst/>
            <a:latin typeface="+mn-lt"/>
            <a:ea typeface="+mn-ea"/>
            <a:cs typeface="+mn-cs"/>
          </a:endParaRPr>
        </a:p>
        <a:p>
          <a:pPr rtl="0" fontAlgn="base"/>
          <a:r>
            <a:rPr lang="en-US" sz="1200" b="0" i="0" u="none" strike="noStrike">
              <a:solidFill>
                <a:schemeClr val="dk1"/>
              </a:solidFill>
              <a:effectLst/>
              <a:latin typeface="+mn-lt"/>
              <a:ea typeface="+mn-ea"/>
              <a:cs typeface="+mn-cs"/>
            </a:rPr>
            <a:t> The Statewide CASE Team receives feedback from the public and other stakeholders throughout the code-development process. Recent stakeholder feedback suggested that Indoor (&lt;50% skylight ratio) CEH building permit applicants are using the existing prototypes, such as “Conditioned Warehouse,” to show compliance via the performance path. However, none of the existing prototypes currently available in CBECC include the energy intensive process loads that are characteristic of indoor CEH buildings including rooms with lighting power density greater than 30 Watts per canopy square foot. To provide an option for the performance path that more accurately represents the loads in these facilities, the Statewide CASE Team, in conjunction with subject matter experts and a California Building Energy Modeling (CalBEM) Prototypes Technical Advisory Group, developed this Indoor CEH prototype. The assumptions were informed by field monitoring and data from cannabis farms throughout CA and the rest of the country. </a:t>
          </a:r>
        </a:p>
        <a:p>
          <a:pPr rtl="0" fontAlgn="base"/>
          <a:r>
            <a:rPr lang="en-US" sz="1200" b="0" i="0" u="none" strike="noStrike">
              <a:solidFill>
                <a:schemeClr val="dk1"/>
              </a:solidFill>
              <a:effectLst/>
              <a:latin typeface="+mn-lt"/>
              <a:ea typeface="+mn-ea"/>
              <a:cs typeface="+mn-cs"/>
            </a:rPr>
            <a:t>  </a:t>
          </a:r>
        </a:p>
        <a:p>
          <a:pPr rtl="0" fontAlgn="base"/>
          <a:r>
            <a:rPr lang="en-US" sz="1200" b="1" i="0" u="none" strike="noStrike">
              <a:solidFill>
                <a:schemeClr val="dk1"/>
              </a:solidFill>
              <a:effectLst/>
              <a:latin typeface="+mn-lt"/>
              <a:ea typeface="+mn-ea"/>
              <a:cs typeface="+mn-cs"/>
            </a:rPr>
            <a:t>Feedback</a:t>
          </a:r>
          <a:r>
            <a:rPr lang="en-US" sz="1200" b="1" i="0" u="none" strike="noStrike" baseline="0">
              <a:solidFill>
                <a:schemeClr val="dk1"/>
              </a:solidFill>
              <a:effectLst/>
              <a:latin typeface="+mn-lt"/>
              <a:ea typeface="+mn-ea"/>
              <a:cs typeface="+mn-cs"/>
            </a:rPr>
            <a:t> on the Proposed Prototype</a:t>
          </a:r>
          <a:endParaRPr lang="en-US" sz="1200" b="1" i="0" u="none" strike="noStrike">
            <a:solidFill>
              <a:schemeClr val="dk1"/>
            </a:solidFill>
            <a:effectLst/>
            <a:latin typeface="+mn-lt"/>
            <a:ea typeface="+mn-ea"/>
            <a:cs typeface="+mn-cs"/>
          </a:endParaRPr>
        </a:p>
        <a:p>
          <a:pPr rtl="0" fontAlgn="base"/>
          <a:r>
            <a:rPr lang="en-US" sz="1200" b="0" i="0" u="none" strike="noStrike">
              <a:solidFill>
                <a:schemeClr val="dk1"/>
              </a:solidFill>
              <a:effectLst/>
              <a:latin typeface="+mn-lt"/>
              <a:ea typeface="+mn-ea"/>
              <a:cs typeface="+mn-cs"/>
            </a:rPr>
            <a:t>The Statewide CASE Team is requesting feedback on the proposed Indoor CEH building energy model prototype assumptions for indoor (&lt;50% skylight ratio) CEH facilities that include a room with lighting power density greater than 30 Watts per canopy square foot. We invite participation from new and existing stakeholders. </a:t>
          </a:r>
        </a:p>
        <a:p>
          <a:pPr rtl="0" fontAlgn="base"/>
          <a:endParaRPr lang="en-US" sz="1200" b="0" i="0" u="none" strike="noStrike">
            <a:solidFill>
              <a:schemeClr val="dk1"/>
            </a:solidFill>
            <a:effectLst/>
            <a:latin typeface="+mn-lt"/>
            <a:ea typeface="+mn-ea"/>
            <a:cs typeface="+mn-cs"/>
          </a:endParaRPr>
        </a:p>
        <a:p>
          <a:pPr marL="0" marR="0" lvl="0" indent="0" defTabSz="914400" rtl="0" eaLnBrk="1" fontAlgn="base" latinLnBrk="0" hangingPunct="1">
            <a:lnSpc>
              <a:spcPct val="100000"/>
            </a:lnSpc>
            <a:spcBef>
              <a:spcPts val="0"/>
            </a:spcBef>
            <a:spcAft>
              <a:spcPts val="0"/>
            </a:spcAft>
            <a:buClrTx/>
            <a:buSzTx/>
            <a:buFontTx/>
            <a:buNone/>
            <a:tabLst/>
            <a:defRPr/>
          </a:pPr>
          <a:r>
            <a:rPr lang="en-US" sz="1200" b="1" i="0" u="none" strike="noStrike">
              <a:solidFill>
                <a:schemeClr val="tx1"/>
              </a:solidFill>
              <a:effectLst/>
              <a:latin typeface="+mn-lt"/>
              <a:ea typeface="+mn-ea"/>
              <a:cs typeface="+mn-cs"/>
            </a:rPr>
            <a:t>Please send an email to amydroitcour@2050partners.com or </a:t>
          </a:r>
          <a:r>
            <a:rPr lang="en-US" sz="1200" b="1" dirty="0">
              <a:solidFill>
                <a:schemeClr val="tx1"/>
              </a:solidFill>
              <a:latin typeface="+mn-lt"/>
              <a:cs typeface="Arial"/>
            </a:rPr>
            <a:t>garthtorvestad@2050partners.com and copy info@title24stakeholders.com with feedback or to set up a meeting to discuss feedback.</a:t>
          </a:r>
        </a:p>
        <a:p>
          <a:pPr rtl="0" fontAlgn="base"/>
          <a:endParaRPr lang="en-US" sz="1200" b="0" i="0" u="none" strike="noStrike">
            <a:solidFill>
              <a:schemeClr val="dk1"/>
            </a:solidFill>
            <a:effectLst/>
            <a:latin typeface="+mn-lt"/>
            <a:ea typeface="+mn-ea"/>
            <a:cs typeface="+mn-cs"/>
          </a:endParaRPr>
        </a:p>
        <a:p>
          <a:endParaRPr lang="en-US" sz="12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110154</xdr:colOff>
      <xdr:row>10</xdr:row>
      <xdr:rowOff>111723</xdr:rowOff>
    </xdr:from>
    <xdr:to>
      <xdr:col>24</xdr:col>
      <xdr:colOff>588869</xdr:colOff>
      <xdr:row>25</xdr:row>
      <xdr:rowOff>128868</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256222</xdr:colOff>
      <xdr:row>1</xdr:row>
      <xdr:rowOff>31432</xdr:rowOff>
    </xdr:from>
    <xdr:to>
      <xdr:col>17</xdr:col>
      <xdr:colOff>570547</xdr:colOff>
      <xdr:row>16</xdr:row>
      <xdr:rowOff>63817</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0</xdr:col>
      <xdr:colOff>304800</xdr:colOff>
      <xdr:row>24</xdr:row>
      <xdr:rowOff>135257</xdr:rowOff>
    </xdr:to>
    <xdr:sp macro="" textlink="">
      <xdr:nvSpPr>
        <xdr:cNvPr id="7169" name="AutoShape 1" descr="Hot Sale Industrial Fast Food Kitchen Equipment KFC Full Set - Electric Gas">
          <a:extLst>
            <a:ext uri="{FF2B5EF4-FFF2-40B4-BE49-F238E27FC236}">
              <a16:creationId xmlns:a16="http://schemas.microsoft.com/office/drawing/2014/main" id="{A5204988-3122-52CE-2FE9-E3CDD8AF4C9A}"/>
            </a:ext>
          </a:extLst>
        </xdr:cNvPr>
        <xdr:cNvSpPr>
          <a:spLocks noChangeAspect="1" noChangeArrowheads="1"/>
        </xdr:cNvSpPr>
      </xdr:nvSpPr>
      <xdr:spPr bwMode="auto">
        <a:xfrm>
          <a:off x="0" y="14485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23</xdr:row>
      <xdr:rowOff>0</xdr:rowOff>
    </xdr:from>
    <xdr:to>
      <xdr:col>0</xdr:col>
      <xdr:colOff>304800</xdr:colOff>
      <xdr:row>24</xdr:row>
      <xdr:rowOff>135257</xdr:rowOff>
    </xdr:to>
    <xdr:sp macro="" textlink="">
      <xdr:nvSpPr>
        <xdr:cNvPr id="7170" name="AutoShape 2" descr="Hot Sale Industrial Fast Food Kitchen Equipment KFC Full Set - Electric Gas">
          <a:extLst>
            <a:ext uri="{FF2B5EF4-FFF2-40B4-BE49-F238E27FC236}">
              <a16:creationId xmlns:a16="http://schemas.microsoft.com/office/drawing/2014/main" id="{7E0E2C31-A1A0-CC43-0907-5629DAD17BE6}"/>
            </a:ext>
          </a:extLst>
        </xdr:cNvPr>
        <xdr:cNvSpPr>
          <a:spLocks noChangeAspect="1" noChangeArrowheads="1"/>
        </xdr:cNvSpPr>
      </xdr:nvSpPr>
      <xdr:spPr bwMode="auto">
        <a:xfrm>
          <a:off x="0" y="1360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19</xdr:col>
      <xdr:colOff>267958</xdr:colOff>
      <xdr:row>3</xdr:row>
      <xdr:rowOff>25123</xdr:rowOff>
    </xdr:from>
    <xdr:to>
      <xdr:col>23</xdr:col>
      <xdr:colOff>639886</xdr:colOff>
      <xdr:row>6</xdr:row>
      <xdr:rowOff>136700</xdr:rowOff>
    </xdr:to>
    <xdr:sp macro="" textlink="">
      <xdr:nvSpPr>
        <xdr:cNvPr id="33" name="TextBox 1">
          <a:extLst>
            <a:ext uri="{FF2B5EF4-FFF2-40B4-BE49-F238E27FC236}">
              <a16:creationId xmlns:a16="http://schemas.microsoft.com/office/drawing/2014/main" id="{323FABF6-2859-6C41-9C49-A09B76CD3212}"/>
            </a:ext>
          </a:extLst>
        </xdr:cNvPr>
        <xdr:cNvSpPr txBox="1"/>
      </xdr:nvSpPr>
      <xdr:spPr>
        <a:xfrm>
          <a:off x="28156320" y="590343"/>
          <a:ext cx="3336192" cy="1715126"/>
        </a:xfrm>
        <a:prstGeom prst="rect">
          <a:avLst/>
        </a:prstGeom>
        <a:solidFill>
          <a:schemeClr val="accent6">
            <a:lumMod val="20000"/>
            <a:lumOff val="8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lang="en-US" sz="1100"/>
            <a:t>This tab provides ventilation rate information. </a:t>
          </a:r>
        </a:p>
        <a:p>
          <a:endParaRPr lang="en-US" sz="1100" baseline="0"/>
        </a:p>
        <a:p>
          <a:r>
            <a:rPr lang="en-US" sz="1100" baseline="0"/>
            <a:t>The Statewide CASE Team is assuming that the flower room will be CO2 enriched and will not have ventilation, and that the processing room (where trimming occurs) will have exhaust-driven ventilation of at least 0.5cfm per square foot for dust and odor mitigation. </a:t>
          </a:r>
        </a:p>
        <a:p>
          <a:endParaRPr lang="en-US" sz="1100" baseline="0"/>
        </a:p>
        <a:p>
          <a:r>
            <a:rPr lang="en-US" sz="1100" baseline="0"/>
            <a:t>The Statewide CASE Team would appreciate input on these assumptions.</a:t>
          </a:r>
        </a:p>
        <a:p>
          <a:endParaRPr 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50</xdr:row>
      <xdr:rowOff>93072</xdr:rowOff>
    </xdr:from>
    <xdr:to>
      <xdr:col>3</xdr:col>
      <xdr:colOff>1030941</xdr:colOff>
      <xdr:row>63</xdr:row>
      <xdr:rowOff>19321</xdr:rowOff>
    </xdr:to>
    <xdr:graphicFrame macro="">
      <xdr:nvGraphicFramePr>
        <xdr:cNvPr id="9" name="Chart 8">
          <a:extLst>
            <a:ext uri="{FF2B5EF4-FFF2-40B4-BE49-F238E27FC236}">
              <a16:creationId xmlns:a16="http://schemas.microsoft.com/office/drawing/2014/main" id="{00000000-0008-0000-0F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1049545</xdr:colOff>
      <xdr:row>50</xdr:row>
      <xdr:rowOff>115526</xdr:rowOff>
    </xdr:from>
    <xdr:to>
      <xdr:col>8</xdr:col>
      <xdr:colOff>223552</xdr:colOff>
      <xdr:row>63</xdr:row>
      <xdr:rowOff>21993</xdr:rowOff>
    </xdr:to>
    <xdr:graphicFrame macro="">
      <xdr:nvGraphicFramePr>
        <xdr:cNvPr id="10" name="Chart 9">
          <a:extLst>
            <a:ext uri="{FF2B5EF4-FFF2-40B4-BE49-F238E27FC236}">
              <a16:creationId xmlns:a16="http://schemas.microsoft.com/office/drawing/2014/main" id="{00000000-0008-0000-0F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251828</xdr:colOff>
      <xdr:row>50</xdr:row>
      <xdr:rowOff>113065</xdr:rowOff>
    </xdr:from>
    <xdr:to>
      <xdr:col>13</xdr:col>
      <xdr:colOff>326651</xdr:colOff>
      <xdr:row>62</xdr:row>
      <xdr:rowOff>209824</xdr:rowOff>
    </xdr:to>
    <xdr:graphicFrame macro="">
      <xdr:nvGraphicFramePr>
        <xdr:cNvPr id="11" name="Chart 10">
          <a:extLst>
            <a:ext uri="{FF2B5EF4-FFF2-40B4-BE49-F238E27FC236}">
              <a16:creationId xmlns:a16="http://schemas.microsoft.com/office/drawing/2014/main" id="{00000000-0008-0000-0F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361461</xdr:colOff>
      <xdr:row>2</xdr:row>
      <xdr:rowOff>234461</xdr:rowOff>
    </xdr:from>
    <xdr:to>
      <xdr:col>7</xdr:col>
      <xdr:colOff>952499</xdr:colOff>
      <xdr:row>11</xdr:row>
      <xdr:rowOff>78153</xdr:rowOff>
    </xdr:to>
    <xdr:sp macro="" textlink="">
      <xdr:nvSpPr>
        <xdr:cNvPr id="14" name="TextBox 2">
          <a:extLst>
            <a:ext uri="{FF2B5EF4-FFF2-40B4-BE49-F238E27FC236}">
              <a16:creationId xmlns:a16="http://schemas.microsoft.com/office/drawing/2014/main" id="{55938D56-152A-8747-904B-F4F1826AA4C7}"/>
            </a:ext>
          </a:extLst>
        </xdr:cNvPr>
        <xdr:cNvSpPr txBox="1"/>
      </xdr:nvSpPr>
      <xdr:spPr>
        <a:xfrm>
          <a:off x="11498384" y="234461"/>
          <a:ext cx="3619500" cy="1875692"/>
        </a:xfrm>
        <a:prstGeom prst="rect">
          <a:avLst/>
        </a:prstGeom>
        <a:solidFill>
          <a:schemeClr val="accent6">
            <a:lumMod val="20000"/>
            <a:lumOff val="8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lang="en-US" sz="1100"/>
            <a:t>This tab provides information on Horticultural</a:t>
          </a:r>
          <a:r>
            <a:rPr lang="en-US" sz="1100" baseline="0"/>
            <a:t> Lighting and Circulation Fans in horticultural spaces (not ventilation fans). The Horticultural Lighting schedules are provided in the Schedules tab. </a:t>
          </a:r>
        </a:p>
        <a:p>
          <a:endParaRPr lang="en-US" sz="1100" baseline="0"/>
        </a:p>
        <a:p>
          <a:r>
            <a:rPr lang="en-US" sz="1100" baseline="0"/>
            <a:t>This tab can also include other process loads. The Statewide CASE Team would appreciate input on whether other process loads are significant enough to include here.  (Plant-driven latent loads are included in the Latent Load and Setpoint tab) </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28</xdr:col>
      <xdr:colOff>132174</xdr:colOff>
      <xdr:row>9</xdr:row>
      <xdr:rowOff>110335</xdr:rowOff>
    </xdr:from>
    <xdr:to>
      <xdr:col>34</xdr:col>
      <xdr:colOff>483702</xdr:colOff>
      <xdr:row>12</xdr:row>
      <xdr:rowOff>85215</xdr:rowOff>
    </xdr:to>
    <xdr:graphicFrame macro="">
      <xdr:nvGraphicFramePr>
        <xdr:cNvPr id="2" name="Chart 5">
          <a:extLst>
            <a:ext uri="{FF2B5EF4-FFF2-40B4-BE49-F238E27FC236}">
              <a16:creationId xmlns:a16="http://schemas.microsoft.com/office/drawing/2014/main" id="{7F887ED4-EF83-451C-B1B7-74B19AE46174}"/>
            </a:ext>
            <a:ext uri="{147F2762-F138-4A5C-976F-8EAC2B608ADB}">
              <a16:predDERef xmlns:a16="http://schemas.microsoft.com/office/drawing/2014/main" pred="{DBBB3571-9962-4A3F-82BD-C5E363082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28</xdr:col>
      <xdr:colOff>152791</xdr:colOff>
      <xdr:row>12</xdr:row>
      <xdr:rowOff>87923</xdr:rowOff>
    </xdr:from>
    <xdr:to>
      <xdr:col>34</xdr:col>
      <xdr:colOff>586154</xdr:colOff>
      <xdr:row>15</xdr:row>
      <xdr:rowOff>86109</xdr:rowOff>
    </xdr:to>
    <xdr:graphicFrame macro="">
      <xdr:nvGraphicFramePr>
        <xdr:cNvPr id="3" name="Chart 5">
          <a:extLst>
            <a:ext uri="{FF2B5EF4-FFF2-40B4-BE49-F238E27FC236}">
              <a16:creationId xmlns:a16="http://schemas.microsoft.com/office/drawing/2014/main" id="{562C7D60-D222-45AF-9013-A79B918CAA53}"/>
            </a:ext>
            <a:ext uri="{147F2762-F138-4A5C-976F-8EAC2B608ADB}">
              <a16:predDERef xmlns:a16="http://schemas.microsoft.com/office/drawing/2014/main" pred="{DBBB3571-9962-4A3F-82BD-C5E363082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28</xdr:col>
      <xdr:colOff>143022</xdr:colOff>
      <xdr:row>30</xdr:row>
      <xdr:rowOff>293076</xdr:rowOff>
    </xdr:from>
    <xdr:to>
      <xdr:col>34</xdr:col>
      <xdr:colOff>576385</xdr:colOff>
      <xdr:row>33</xdr:row>
      <xdr:rowOff>186732</xdr:rowOff>
    </xdr:to>
    <xdr:graphicFrame macro="">
      <xdr:nvGraphicFramePr>
        <xdr:cNvPr id="10" name="Chart 5">
          <a:extLst>
            <a:ext uri="{FF2B5EF4-FFF2-40B4-BE49-F238E27FC236}">
              <a16:creationId xmlns:a16="http://schemas.microsoft.com/office/drawing/2014/main" id="{F8649B1F-C1B4-4ACF-B5FC-61526761CFE2}"/>
            </a:ext>
            <a:ext uri="{147F2762-F138-4A5C-976F-8EAC2B608ADB}">
              <a16:predDERef xmlns:a16="http://schemas.microsoft.com/office/drawing/2014/main" pred="{DBBB3571-9962-4A3F-82BD-C5E363082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xdr:col>
      <xdr:colOff>152791</xdr:colOff>
      <xdr:row>27</xdr:row>
      <xdr:rowOff>87923</xdr:rowOff>
    </xdr:from>
    <xdr:to>
      <xdr:col>34</xdr:col>
      <xdr:colOff>586154</xdr:colOff>
      <xdr:row>30</xdr:row>
      <xdr:rowOff>86109</xdr:rowOff>
    </xdr:to>
    <xdr:graphicFrame macro="">
      <xdr:nvGraphicFramePr>
        <xdr:cNvPr id="6" name="Chart 5">
          <a:extLst>
            <a:ext uri="{FF2B5EF4-FFF2-40B4-BE49-F238E27FC236}">
              <a16:creationId xmlns:a16="http://schemas.microsoft.com/office/drawing/2014/main" id="{3829B692-84CA-4F11-A572-28334A0337A2}"/>
            </a:ext>
            <a:ext uri="{147F2762-F138-4A5C-976F-8EAC2B608ADB}">
              <a16:predDERef xmlns:a16="http://schemas.microsoft.com/office/drawing/2014/main" pred="{DBBB3571-9962-4A3F-82BD-C5E363082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28</xdr:col>
      <xdr:colOff>152791</xdr:colOff>
      <xdr:row>15</xdr:row>
      <xdr:rowOff>87923</xdr:rowOff>
    </xdr:from>
    <xdr:to>
      <xdr:col>34</xdr:col>
      <xdr:colOff>586154</xdr:colOff>
      <xdr:row>24</xdr:row>
      <xdr:rowOff>86109</xdr:rowOff>
    </xdr:to>
    <xdr:graphicFrame macro="">
      <xdr:nvGraphicFramePr>
        <xdr:cNvPr id="7" name="Chart 5">
          <a:extLst>
            <a:ext uri="{FF2B5EF4-FFF2-40B4-BE49-F238E27FC236}">
              <a16:creationId xmlns:a16="http://schemas.microsoft.com/office/drawing/2014/main" id="{44729C12-D2A0-4BBC-B561-E4199A740F80}"/>
            </a:ext>
            <a:ext uri="{147F2762-F138-4A5C-976F-8EAC2B608ADB}">
              <a16:predDERef xmlns:a16="http://schemas.microsoft.com/office/drawing/2014/main" pred="{DBBB3571-9962-4A3F-82BD-C5E363082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28</xdr:col>
      <xdr:colOff>152791</xdr:colOff>
      <xdr:row>24</xdr:row>
      <xdr:rowOff>87923</xdr:rowOff>
    </xdr:from>
    <xdr:to>
      <xdr:col>34</xdr:col>
      <xdr:colOff>586154</xdr:colOff>
      <xdr:row>27</xdr:row>
      <xdr:rowOff>86109</xdr:rowOff>
    </xdr:to>
    <xdr:graphicFrame macro="">
      <xdr:nvGraphicFramePr>
        <xdr:cNvPr id="8" name="Chart 7">
          <a:extLst>
            <a:ext uri="{FF2B5EF4-FFF2-40B4-BE49-F238E27FC236}">
              <a16:creationId xmlns:a16="http://schemas.microsoft.com/office/drawing/2014/main" id="{64306D0B-239D-466F-B383-D93A0723FCC6}"/>
            </a:ext>
            <a:ext uri="{147F2762-F138-4A5C-976F-8EAC2B608ADB}">
              <a16:predDERef xmlns:a16="http://schemas.microsoft.com/office/drawing/2014/main" pred="{DBBB3571-9962-4A3F-82BD-C5E363082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xdr:col>
      <xdr:colOff>140464</xdr:colOff>
      <xdr:row>34</xdr:row>
      <xdr:rowOff>89361</xdr:rowOff>
    </xdr:from>
    <xdr:to>
      <xdr:col>34</xdr:col>
      <xdr:colOff>472831</xdr:colOff>
      <xdr:row>37</xdr:row>
      <xdr:rowOff>86372</xdr:rowOff>
    </xdr:to>
    <xdr:graphicFrame macro="">
      <xdr:nvGraphicFramePr>
        <xdr:cNvPr id="11" name="Chart 5">
          <a:extLst>
            <a:ext uri="{FF2B5EF4-FFF2-40B4-BE49-F238E27FC236}">
              <a16:creationId xmlns:a16="http://schemas.microsoft.com/office/drawing/2014/main" id="{AD13ECEB-16E4-4AFF-8E89-282EEAAE886B}"/>
            </a:ext>
            <a:ext uri="{147F2762-F138-4A5C-976F-8EAC2B608ADB}">
              <a16:predDERef xmlns:a16="http://schemas.microsoft.com/office/drawing/2014/main" pred="{DBBB3571-9962-4A3F-82BD-C5E363082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xdr:col>
      <xdr:colOff>141585</xdr:colOff>
      <xdr:row>37</xdr:row>
      <xdr:rowOff>125535</xdr:rowOff>
    </xdr:from>
    <xdr:to>
      <xdr:col>34</xdr:col>
      <xdr:colOff>586154</xdr:colOff>
      <xdr:row>40</xdr:row>
      <xdr:rowOff>75852</xdr:rowOff>
    </xdr:to>
    <xdr:graphicFrame macro="">
      <xdr:nvGraphicFramePr>
        <xdr:cNvPr id="15" name="Chart 5">
          <a:extLst>
            <a:ext uri="{FF2B5EF4-FFF2-40B4-BE49-F238E27FC236}">
              <a16:creationId xmlns:a16="http://schemas.microsoft.com/office/drawing/2014/main" id="{4CF35C84-2205-461F-BE9D-DE7A96498FA3}"/>
            </a:ext>
            <a:ext uri="{147F2762-F138-4A5C-976F-8EAC2B608ADB}">
              <a16:predDERef xmlns:a16="http://schemas.microsoft.com/office/drawing/2014/main" pred="{DBBB3571-9962-4A3F-82BD-C5E363082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28</xdr:col>
      <xdr:colOff>286870</xdr:colOff>
      <xdr:row>26</xdr:row>
      <xdr:rowOff>466165</xdr:rowOff>
    </xdr:from>
    <xdr:to>
      <xdr:col>34</xdr:col>
      <xdr:colOff>633804</xdr:colOff>
      <xdr:row>27</xdr:row>
      <xdr:rowOff>0</xdr:rowOff>
    </xdr:to>
    <xdr:graphicFrame macro="">
      <xdr:nvGraphicFramePr>
        <xdr:cNvPr id="27" name="Chart 5">
          <a:extLst>
            <a:ext uri="{FF2B5EF4-FFF2-40B4-BE49-F238E27FC236}">
              <a16:creationId xmlns:a16="http://schemas.microsoft.com/office/drawing/2014/main" id="{B2EDD7BD-9E89-4747-92BE-83BD9B7BB81C}"/>
            </a:ext>
            <a:ext uri="{147F2762-F138-4A5C-976F-8EAC2B608ADB}">
              <a16:predDERef xmlns:a16="http://schemas.microsoft.com/office/drawing/2014/main" pred="{DBBB3571-9962-4A3F-82BD-C5E363082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28</xdr:col>
      <xdr:colOff>135982</xdr:colOff>
      <xdr:row>6</xdr:row>
      <xdr:rowOff>141263</xdr:rowOff>
    </xdr:from>
    <xdr:to>
      <xdr:col>34</xdr:col>
      <xdr:colOff>483700</xdr:colOff>
      <xdr:row>9</xdr:row>
      <xdr:rowOff>83516</xdr:rowOff>
    </xdr:to>
    <xdr:graphicFrame macro="">
      <xdr:nvGraphicFramePr>
        <xdr:cNvPr id="9" name="Chart 5">
          <a:extLst>
            <a:ext uri="{FF2B5EF4-FFF2-40B4-BE49-F238E27FC236}">
              <a16:creationId xmlns:a16="http://schemas.microsoft.com/office/drawing/2014/main" id="{BFB5E6CE-1DC8-43BD-AB76-7B507BEB194C}"/>
            </a:ext>
            <a:ext uri="{147F2762-F138-4A5C-976F-8EAC2B608ADB}">
              <a16:predDERef xmlns:a16="http://schemas.microsoft.com/office/drawing/2014/main" pred="{B2EDD7BD-9E89-4747-92BE-83BD9B7BB8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27</xdr:col>
      <xdr:colOff>420076</xdr:colOff>
      <xdr:row>40</xdr:row>
      <xdr:rowOff>29308</xdr:rowOff>
    </xdr:from>
    <xdr:to>
      <xdr:col>36</xdr:col>
      <xdr:colOff>197828</xdr:colOff>
      <xdr:row>45</xdr:row>
      <xdr:rowOff>19540</xdr:rowOff>
    </xdr:to>
    <xdr:graphicFrame macro="">
      <xdr:nvGraphicFramePr>
        <xdr:cNvPr id="20" name="Chart 16">
          <a:extLst>
            <a:ext uri="{FF2B5EF4-FFF2-40B4-BE49-F238E27FC236}">
              <a16:creationId xmlns:a16="http://schemas.microsoft.com/office/drawing/2014/main" id="{C1D86CFA-0474-F34A-BB60-DB9412E446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28</xdr:col>
      <xdr:colOff>9768</xdr:colOff>
      <xdr:row>2</xdr:row>
      <xdr:rowOff>0</xdr:rowOff>
    </xdr:from>
    <xdr:to>
      <xdr:col>38</xdr:col>
      <xdr:colOff>3517</xdr:colOff>
      <xdr:row>6</xdr:row>
      <xdr:rowOff>30479</xdr:rowOff>
    </xdr:to>
    <xdr:sp macro="" textlink="">
      <xdr:nvSpPr>
        <xdr:cNvPr id="26" name="TextBox 20">
          <a:extLst>
            <a:ext uri="{FF2B5EF4-FFF2-40B4-BE49-F238E27FC236}">
              <a16:creationId xmlns:a16="http://schemas.microsoft.com/office/drawing/2014/main" id="{7E04CD35-D192-314B-B40E-164834CC55E2}"/>
            </a:ext>
          </a:extLst>
        </xdr:cNvPr>
        <xdr:cNvSpPr txBox="1"/>
      </xdr:nvSpPr>
      <xdr:spPr>
        <a:xfrm>
          <a:off x="14487768" y="0"/>
          <a:ext cx="6470749" cy="1104899"/>
        </a:xfrm>
        <a:prstGeom prst="rect">
          <a:avLst/>
        </a:prstGeom>
        <a:solidFill>
          <a:schemeClr val="accent6">
            <a:lumMod val="20000"/>
            <a:lumOff val="8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lang="en-US" sz="1100"/>
            <a:t>This tab provides schedule assumptions for occupancy, lighting, HVAC availability, and infiltration. </a:t>
          </a:r>
          <a:r>
            <a:rPr lang="en-US" sz="1100" baseline="0"/>
            <a:t>All values are provided as a fraction of the total, with a value of 1 being at maximum occupancy, or not dimmed. The Horticulture_Flowering lighting schedule is provided based on the weeks of the grow cycle to reflect common practice. </a:t>
          </a:r>
        </a:p>
        <a:p>
          <a:endParaRPr lang="en-US" sz="1100" baseline="0"/>
        </a:p>
        <a:p>
          <a:r>
            <a:rPr lang="en-US" sz="1100" baseline="0"/>
            <a:t>The Statewide CASE Team would appreciate input on these assumptions. </a:t>
          </a:r>
        </a:p>
        <a:p>
          <a:endParaRPr lang="en-US" sz="1100"/>
        </a:p>
      </xdr:txBody>
    </xdr:sp>
    <xdr:clientData/>
  </xdr:twoCellAnchor>
  <xdr:twoCellAnchor>
    <xdr:from>
      <xdr:col>28</xdr:col>
      <xdr:colOff>152791</xdr:colOff>
      <xdr:row>21</xdr:row>
      <xdr:rowOff>87923</xdr:rowOff>
    </xdr:from>
    <xdr:to>
      <xdr:col>34</xdr:col>
      <xdr:colOff>586154</xdr:colOff>
      <xdr:row>24</xdr:row>
      <xdr:rowOff>86109</xdr:rowOff>
    </xdr:to>
    <xdr:graphicFrame macro="">
      <xdr:nvGraphicFramePr>
        <xdr:cNvPr id="22" name="Chart 21">
          <a:extLst>
            <a:ext uri="{FF2B5EF4-FFF2-40B4-BE49-F238E27FC236}">
              <a16:creationId xmlns:a16="http://schemas.microsoft.com/office/drawing/2014/main" id="{DE0EDB55-1B7F-734C-AE7B-34E9A0D22A50}"/>
            </a:ext>
            <a:ext uri="{147F2762-F138-4A5C-976F-8EAC2B608ADB}">
              <a16:predDERef xmlns:a16="http://schemas.microsoft.com/office/drawing/2014/main" pred="{DBBB3571-9962-4A3F-82BD-C5E363082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28</xdr:col>
      <xdr:colOff>152791</xdr:colOff>
      <xdr:row>18</xdr:row>
      <xdr:rowOff>87923</xdr:rowOff>
    </xdr:from>
    <xdr:to>
      <xdr:col>34</xdr:col>
      <xdr:colOff>586154</xdr:colOff>
      <xdr:row>21</xdr:row>
      <xdr:rowOff>86109</xdr:rowOff>
    </xdr:to>
    <xdr:graphicFrame macro="">
      <xdr:nvGraphicFramePr>
        <xdr:cNvPr id="23" name="Chart 22">
          <a:extLst>
            <a:ext uri="{FF2B5EF4-FFF2-40B4-BE49-F238E27FC236}">
              <a16:creationId xmlns:a16="http://schemas.microsoft.com/office/drawing/2014/main" id="{819D1B77-24F6-9F49-BCB7-74279BAF0311}"/>
            </a:ext>
            <a:ext uri="{147F2762-F138-4A5C-976F-8EAC2B608ADB}">
              <a16:predDERef xmlns:a16="http://schemas.microsoft.com/office/drawing/2014/main" pred="{DBBB3571-9962-4A3F-82BD-C5E363082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28</xdr:col>
      <xdr:colOff>286870</xdr:colOff>
      <xdr:row>20</xdr:row>
      <xdr:rowOff>466165</xdr:rowOff>
    </xdr:from>
    <xdr:to>
      <xdr:col>34</xdr:col>
      <xdr:colOff>633804</xdr:colOff>
      <xdr:row>21</xdr:row>
      <xdr:rowOff>0</xdr:rowOff>
    </xdr:to>
    <xdr:graphicFrame macro="">
      <xdr:nvGraphicFramePr>
        <xdr:cNvPr id="24" name="Chart 5">
          <a:extLst>
            <a:ext uri="{FF2B5EF4-FFF2-40B4-BE49-F238E27FC236}">
              <a16:creationId xmlns:a16="http://schemas.microsoft.com/office/drawing/2014/main" id="{377BDD2E-2E77-804E-A62A-25759185A804}"/>
            </a:ext>
            <a:ext uri="{147F2762-F138-4A5C-976F-8EAC2B608ADB}">
              <a16:predDERef xmlns:a16="http://schemas.microsoft.com/office/drawing/2014/main" pred="{DBBB3571-9962-4A3F-82BD-C5E363082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28</xdr:col>
      <xdr:colOff>278354</xdr:colOff>
      <xdr:row>6</xdr:row>
      <xdr:rowOff>0</xdr:rowOff>
    </xdr:from>
    <xdr:to>
      <xdr:col>35</xdr:col>
      <xdr:colOff>0</xdr:colOff>
      <xdr:row>6</xdr:row>
      <xdr:rowOff>0</xdr:rowOff>
    </xdr:to>
    <xdr:graphicFrame macro="">
      <xdr:nvGraphicFramePr>
        <xdr:cNvPr id="13" name="Chart 5">
          <a:extLst>
            <a:ext uri="{FF2B5EF4-FFF2-40B4-BE49-F238E27FC236}">
              <a16:creationId xmlns:a16="http://schemas.microsoft.com/office/drawing/2014/main" id="{5E106049-A4C2-014E-9B32-6D2020B01081}"/>
            </a:ext>
            <a:ext uri="{147F2762-F138-4A5C-976F-8EAC2B608ADB}">
              <a16:predDERef xmlns:a16="http://schemas.microsoft.com/office/drawing/2014/main" pred="{DBBB3571-9962-4A3F-82BD-C5E363082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28</xdr:col>
      <xdr:colOff>87923</xdr:colOff>
      <xdr:row>5</xdr:row>
      <xdr:rowOff>312616</xdr:rowOff>
    </xdr:from>
    <xdr:to>
      <xdr:col>37</xdr:col>
      <xdr:colOff>185127</xdr:colOff>
      <xdr:row>10</xdr:row>
      <xdr:rowOff>478694</xdr:rowOff>
    </xdr:to>
    <xdr:graphicFrame macro="">
      <xdr:nvGraphicFramePr>
        <xdr:cNvPr id="6" name="Chart 3">
          <a:extLst>
            <a:ext uri="{FF2B5EF4-FFF2-40B4-BE49-F238E27FC236}">
              <a16:creationId xmlns:a16="http://schemas.microsoft.com/office/drawing/2014/main" id="{1F6EB470-4974-C24D-ADA6-3A83C5026CD7}"/>
            </a:ext>
            <a:ext uri="{147F2762-F138-4A5C-976F-8EAC2B608ADB}">
              <a16:predDERef xmlns:a16="http://schemas.microsoft.com/office/drawing/2014/main" pred="{0AAAADB4-FFFB-EDE6-A859-77F7117537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28</xdr:col>
      <xdr:colOff>97692</xdr:colOff>
      <xdr:row>10</xdr:row>
      <xdr:rowOff>488460</xdr:rowOff>
    </xdr:from>
    <xdr:to>
      <xdr:col>37</xdr:col>
      <xdr:colOff>9767</xdr:colOff>
      <xdr:row>14</xdr:row>
      <xdr:rowOff>468923</xdr:rowOff>
    </xdr:to>
    <xdr:graphicFrame macro="">
      <xdr:nvGraphicFramePr>
        <xdr:cNvPr id="8" name="Chart 4">
          <a:extLst>
            <a:ext uri="{FF2B5EF4-FFF2-40B4-BE49-F238E27FC236}">
              <a16:creationId xmlns:a16="http://schemas.microsoft.com/office/drawing/2014/main" id="{27DD5AED-0D2D-0247-B5B2-57FFA6A459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xdr:col>
      <xdr:colOff>127000</xdr:colOff>
      <xdr:row>14</xdr:row>
      <xdr:rowOff>400538</xdr:rowOff>
    </xdr:from>
    <xdr:to>
      <xdr:col>36</xdr:col>
      <xdr:colOff>576384</xdr:colOff>
      <xdr:row>18</xdr:row>
      <xdr:rowOff>459154</xdr:rowOff>
    </xdr:to>
    <xdr:graphicFrame macro="">
      <xdr:nvGraphicFramePr>
        <xdr:cNvPr id="9" name="Chart 6">
          <a:extLst>
            <a:ext uri="{FF2B5EF4-FFF2-40B4-BE49-F238E27FC236}">
              <a16:creationId xmlns:a16="http://schemas.microsoft.com/office/drawing/2014/main" id="{9B0A76EA-29B5-A14C-B545-6384F7B5EB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29</xdr:col>
      <xdr:colOff>57150</xdr:colOff>
      <xdr:row>2</xdr:row>
      <xdr:rowOff>257175</xdr:rowOff>
    </xdr:from>
    <xdr:to>
      <xdr:col>38</xdr:col>
      <xdr:colOff>447919</xdr:colOff>
      <xdr:row>5</xdr:row>
      <xdr:rowOff>114300</xdr:rowOff>
    </xdr:to>
    <xdr:sp macro="" textlink="">
      <xdr:nvSpPr>
        <xdr:cNvPr id="19" name="TextBox 9">
          <a:extLst>
            <a:ext uri="{FF2B5EF4-FFF2-40B4-BE49-F238E27FC236}">
              <a16:creationId xmlns:a16="http://schemas.microsoft.com/office/drawing/2014/main" id="{047D0F91-C7E2-BD47-8AE1-8B14388AC1C6}"/>
            </a:ext>
          </a:extLst>
        </xdr:cNvPr>
        <xdr:cNvSpPr txBox="1"/>
      </xdr:nvSpPr>
      <xdr:spPr>
        <a:xfrm>
          <a:off x="15249525" y="542925"/>
          <a:ext cx="6220069" cy="1800225"/>
        </a:xfrm>
        <a:prstGeom prst="rect">
          <a:avLst/>
        </a:prstGeom>
        <a:solidFill>
          <a:schemeClr val="accent6">
            <a:lumMod val="20000"/>
            <a:lumOff val="8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lang="en-US" sz="1100"/>
            <a:t>This tab provides schedule assumptions for latent loads (% of maximum),</a:t>
          </a:r>
          <a:r>
            <a:rPr lang="en-US" sz="1100" baseline="0"/>
            <a:t> temperature setpoints (Farenheit), and humidity setpoints (%RH). For the CEH flower room, this information is provided by specific weeks within the 9-week grow cycle. The vegetative, clone, and drying rooms are assumed to operate the same 365 days per year.  The yellow coloring indicates periods when lights are on for the growing rooms.  The latent load schedules are based on measured values from the Code Readiness study, and the schedule data is based on input from CEH SMEs.</a:t>
          </a:r>
        </a:p>
        <a:p>
          <a:endParaRPr lang="en-US" sz="1100"/>
        </a:p>
        <a:p>
          <a:r>
            <a:rPr lang="en-US" sz="1100"/>
            <a:t>The table below provides assumptions</a:t>
          </a:r>
          <a:r>
            <a:rPr lang="en-US" sz="1100" baseline="0"/>
            <a:t> on the maximum latent load by room. </a:t>
          </a:r>
        </a:p>
        <a:p>
          <a:endParaRPr lang="en-US" sz="1100" baseline="0"/>
        </a:p>
        <a:p>
          <a:r>
            <a:rPr lang="en-US" sz="1100" baseline="0"/>
            <a:t>The Statewide CASE Team would like input on both the schedules and maximum latent loads.</a:t>
          </a:r>
          <a:endParaRPr 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713153</xdr:colOff>
      <xdr:row>2</xdr:row>
      <xdr:rowOff>214923</xdr:rowOff>
    </xdr:from>
    <xdr:to>
      <xdr:col>9</xdr:col>
      <xdr:colOff>769674</xdr:colOff>
      <xdr:row>7</xdr:row>
      <xdr:rowOff>184220</xdr:rowOff>
    </xdr:to>
    <xdr:sp macro="" textlink="">
      <xdr:nvSpPr>
        <xdr:cNvPr id="3" name="TextBox 2">
          <a:extLst>
            <a:ext uri="{FF2B5EF4-FFF2-40B4-BE49-F238E27FC236}">
              <a16:creationId xmlns:a16="http://schemas.microsoft.com/office/drawing/2014/main" id="{1E5140D3-79C5-DC4D-BA43-B0ABD3822280}"/>
            </a:ext>
          </a:extLst>
        </xdr:cNvPr>
        <xdr:cNvSpPr txBox="1"/>
      </xdr:nvSpPr>
      <xdr:spPr>
        <a:xfrm>
          <a:off x="9866922" y="214923"/>
          <a:ext cx="3964214" cy="1542143"/>
        </a:xfrm>
        <a:prstGeom prst="rect">
          <a:avLst/>
        </a:prstGeom>
        <a:solidFill>
          <a:schemeClr val="accent6">
            <a:lumMod val="20000"/>
            <a:lumOff val="8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lang="en-US" sz="1100"/>
            <a:t>The Electric Energy Intensity was based on California</a:t>
          </a:r>
          <a:r>
            <a:rPr lang="en-US" sz="1100" baseline="0"/>
            <a:t> Department of Cannabis Control ELectricity Supplied by license type, and the average canopy square footage by license type.</a:t>
          </a:r>
          <a:endParaRPr 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19050</xdr:colOff>
      <xdr:row>10</xdr:row>
      <xdr:rowOff>9525</xdr:rowOff>
    </xdr:from>
    <xdr:to>
      <xdr:col>10</xdr:col>
      <xdr:colOff>238125</xdr:colOff>
      <xdr:row>18</xdr:row>
      <xdr:rowOff>19050</xdr:rowOff>
    </xdr:to>
    <xdr:sp macro="" textlink="">
      <xdr:nvSpPr>
        <xdr:cNvPr id="4" name="TextBox 1">
          <a:extLst>
            <a:ext uri="{FF2B5EF4-FFF2-40B4-BE49-F238E27FC236}">
              <a16:creationId xmlns:a16="http://schemas.microsoft.com/office/drawing/2014/main" id="{80C718D2-9E2C-2942-9E26-13F48C5EE861}"/>
            </a:ext>
          </a:extLst>
        </xdr:cNvPr>
        <xdr:cNvSpPr txBox="1"/>
      </xdr:nvSpPr>
      <xdr:spPr>
        <a:xfrm>
          <a:off x="5210175" y="2800350"/>
          <a:ext cx="3486150" cy="1762125"/>
        </a:xfrm>
        <a:prstGeom prst="rect">
          <a:avLst/>
        </a:prstGeom>
        <a:solidFill>
          <a:schemeClr val="accent6">
            <a:lumMod val="20000"/>
            <a:lumOff val="8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lang="en-US" sz="1100"/>
            <a:t>There is no California End-Use Survey (CEUS) or similar data for CEH. The Statewide CASE Team used the CEC 2026 Construction forecast and multiplied by 32% based on the assumption of the percentage of CEH squarefootage</a:t>
          </a:r>
          <a:r>
            <a:rPr lang="en-US" sz="1100" baseline="0"/>
            <a:t> that </a:t>
          </a:r>
          <a:r>
            <a:rPr lang="en-US" sz="1100"/>
            <a:t>is indoor in the 2025 CEH CASE Report</a:t>
          </a:r>
        </a:p>
        <a:p>
          <a:endParaRPr lang="en-US" sz="1100"/>
        </a:p>
        <a:p>
          <a:r>
            <a:rPr lang="en-US" sz="1100"/>
            <a:t>The Statewide CASE</a:t>
          </a:r>
          <a:r>
            <a:rPr lang="en-US" sz="1100" baseline="0"/>
            <a:t> Team would welcome data on growth rates and construction rates of indoor CEH</a:t>
          </a:r>
          <a:r>
            <a:rPr lang="en-US" sz="1100"/>
            <a:t> by crop type.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7</xdr:col>
      <xdr:colOff>66842</xdr:colOff>
      <xdr:row>2</xdr:row>
      <xdr:rowOff>20053</xdr:rowOff>
    </xdr:from>
    <xdr:to>
      <xdr:col>8</xdr:col>
      <xdr:colOff>2202448</xdr:colOff>
      <xdr:row>5</xdr:row>
      <xdr:rowOff>53340</xdr:rowOff>
    </xdr:to>
    <xdr:sp macro="" textlink="">
      <xdr:nvSpPr>
        <xdr:cNvPr id="2" name="TextBox 1">
          <a:extLst>
            <a:ext uri="{FF2B5EF4-FFF2-40B4-BE49-F238E27FC236}">
              <a16:creationId xmlns:a16="http://schemas.microsoft.com/office/drawing/2014/main" id="{F8D34AC8-2DF6-0149-8E54-3A2298411403}"/>
            </a:ext>
          </a:extLst>
        </xdr:cNvPr>
        <xdr:cNvSpPr txBox="1"/>
      </xdr:nvSpPr>
      <xdr:spPr>
        <a:xfrm>
          <a:off x="10407182" y="20053"/>
          <a:ext cx="3469106" cy="962927"/>
        </a:xfrm>
        <a:prstGeom prst="rect">
          <a:avLst/>
        </a:prstGeom>
        <a:solidFill>
          <a:schemeClr val="accent6">
            <a:lumMod val="20000"/>
            <a:lumOff val="8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lang="en-US" sz="1100"/>
            <a:t>This tab provides information on task lighting, not horticultural lighting. </a:t>
          </a:r>
        </a:p>
        <a:p>
          <a:endParaRPr lang="en-US" sz="1100"/>
        </a:p>
        <a:p>
          <a:r>
            <a:rPr lang="en-US" sz="1100"/>
            <a:t>The hortiultural lighting is represented in the Equipment tab. </a:t>
          </a:r>
        </a:p>
        <a:p>
          <a:endParaRPr lang="en-US" sz="1100" baseline="0"/>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1306168</xdr:colOff>
      <xdr:row>3</xdr:row>
      <xdr:rowOff>830</xdr:rowOff>
    </xdr:from>
    <xdr:to>
      <xdr:col>14</xdr:col>
      <xdr:colOff>1546362</xdr:colOff>
      <xdr:row>4</xdr:row>
      <xdr:rowOff>36528</xdr:rowOff>
    </xdr:to>
    <xdr:sp macro="" textlink="">
      <xdr:nvSpPr>
        <xdr:cNvPr id="15" name="TextBox 7">
          <a:extLst>
            <a:ext uri="{FF2B5EF4-FFF2-40B4-BE49-F238E27FC236}">
              <a16:creationId xmlns:a16="http://schemas.microsoft.com/office/drawing/2014/main" id="{1DDDC35D-79DC-FE8D-E36B-A215903DCB00}"/>
            </a:ext>
            <a:ext uri="{147F2762-F138-4A5C-976F-8EAC2B608ADB}">
              <a16:predDERef xmlns:a16="http://schemas.microsoft.com/office/drawing/2014/main" pred="{BB0EC946-BDB6-09C9-DB60-21B21720AE71}"/>
            </a:ext>
          </a:extLst>
        </xdr:cNvPr>
        <xdr:cNvSpPr txBox="1"/>
      </xdr:nvSpPr>
      <xdr:spPr>
        <a:xfrm>
          <a:off x="13183843" y="830"/>
          <a:ext cx="240194" cy="3595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tx1"/>
              </a:solidFill>
            </a:rPr>
            <a:t>N</a:t>
          </a:r>
        </a:p>
      </xdr:txBody>
    </xdr:sp>
    <xdr:clientData/>
  </xdr:twoCellAnchor>
  <xdr:twoCellAnchor>
    <xdr:from>
      <xdr:col>14</xdr:col>
      <xdr:colOff>296332</xdr:colOff>
      <xdr:row>4</xdr:row>
      <xdr:rowOff>137581</xdr:rowOff>
    </xdr:from>
    <xdr:to>
      <xdr:col>16</xdr:col>
      <xdr:colOff>6350</xdr:colOff>
      <xdr:row>6</xdr:row>
      <xdr:rowOff>63499</xdr:rowOff>
    </xdr:to>
    <xdr:sp macro="" textlink="">
      <xdr:nvSpPr>
        <xdr:cNvPr id="14" name="TextBox 10">
          <a:extLst>
            <a:ext uri="{FF2B5EF4-FFF2-40B4-BE49-F238E27FC236}">
              <a16:creationId xmlns:a16="http://schemas.microsoft.com/office/drawing/2014/main" id="{9DD69EF8-B4E3-DA4F-9B2C-47772CFCD198}"/>
            </a:ext>
          </a:extLst>
        </xdr:cNvPr>
        <xdr:cNvSpPr txBox="1"/>
      </xdr:nvSpPr>
      <xdr:spPr>
        <a:xfrm>
          <a:off x="17113249" y="465664"/>
          <a:ext cx="2429934" cy="1185335"/>
        </a:xfrm>
        <a:prstGeom prst="rect">
          <a:avLst/>
        </a:prstGeom>
        <a:solidFill>
          <a:schemeClr val="accent6">
            <a:lumMod val="20000"/>
            <a:lumOff val="8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lang="en-US" sz="1100"/>
            <a:t>This tab provides a breakdown of the prototype space into the different space types and HVAC zones. The Statewide CASE Team would appreciate input on the area fraction of the different space</a:t>
          </a:r>
          <a:r>
            <a:rPr lang="en-US" sz="1100" baseline="0"/>
            <a:t> types and thermal zones. </a:t>
          </a:r>
          <a:endParaRPr lang="en-US" sz="1100"/>
        </a:p>
      </xdr:txBody>
    </xdr:sp>
    <xdr:clientData/>
  </xdr:twoCellAnchor>
  <xdr:twoCellAnchor editAs="oneCell">
    <xdr:from>
      <xdr:col>1</xdr:col>
      <xdr:colOff>455084</xdr:colOff>
      <xdr:row>21</xdr:row>
      <xdr:rowOff>158751</xdr:rowOff>
    </xdr:from>
    <xdr:to>
      <xdr:col>7</xdr:col>
      <xdr:colOff>378884</xdr:colOff>
      <xdr:row>47</xdr:row>
      <xdr:rowOff>40091</xdr:rowOff>
    </xdr:to>
    <xdr:pic>
      <xdr:nvPicPr>
        <xdr:cNvPr id="3" name="Picture 5">
          <a:extLst>
            <a:ext uri="{FF2B5EF4-FFF2-40B4-BE49-F238E27FC236}">
              <a16:creationId xmlns:a16="http://schemas.microsoft.com/office/drawing/2014/main" id="{C6B77E11-F892-EA97-2E9A-B883E46CA356}"/>
            </a:ext>
          </a:extLst>
        </xdr:cNvPr>
        <xdr:cNvPicPr>
          <a:picLocks noChangeAspect="1"/>
        </xdr:cNvPicPr>
      </xdr:nvPicPr>
      <xdr:blipFill>
        <a:blip xmlns:r="http://schemas.openxmlformats.org/officeDocument/2006/relationships" r:embed="rId1"/>
        <a:stretch>
          <a:fillRect/>
        </a:stretch>
      </xdr:blipFill>
      <xdr:spPr>
        <a:xfrm>
          <a:off x="1968501" y="6000751"/>
          <a:ext cx="7772400" cy="319604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xdr:colOff>
      <xdr:row>33</xdr:row>
      <xdr:rowOff>129540</xdr:rowOff>
    </xdr:from>
    <xdr:to>
      <xdr:col>2</xdr:col>
      <xdr:colOff>335487</xdr:colOff>
      <xdr:row>52</xdr:row>
      <xdr:rowOff>45719</xdr:rowOff>
    </xdr:to>
    <xdr:pic>
      <xdr:nvPicPr>
        <xdr:cNvPr id="12" name="Picture 2">
          <a:extLst>
            <a:ext uri="{FF2B5EF4-FFF2-40B4-BE49-F238E27FC236}">
              <a16:creationId xmlns:a16="http://schemas.microsoft.com/office/drawing/2014/main" id="{433BFD92-63F6-B73B-8731-E496DB63CCA8}"/>
            </a:ext>
          </a:extLst>
        </xdr:cNvPr>
        <xdr:cNvPicPr>
          <a:picLocks noChangeAspect="1"/>
        </xdr:cNvPicPr>
      </xdr:nvPicPr>
      <xdr:blipFill>
        <a:blip xmlns:r="http://schemas.openxmlformats.org/officeDocument/2006/relationships" r:embed="rId1"/>
        <a:stretch>
          <a:fillRect/>
        </a:stretch>
      </xdr:blipFill>
      <xdr:spPr>
        <a:xfrm>
          <a:off x="1" y="7147560"/>
          <a:ext cx="5265626" cy="3101339"/>
        </a:xfrm>
        <a:prstGeom prst="rect">
          <a:avLst/>
        </a:prstGeom>
      </xdr:spPr>
    </xdr:pic>
    <xdr:clientData/>
  </xdr:twoCellAnchor>
  <xdr:twoCellAnchor>
    <xdr:from>
      <xdr:col>0</xdr:col>
      <xdr:colOff>0</xdr:colOff>
      <xdr:row>58</xdr:row>
      <xdr:rowOff>91558</xdr:rowOff>
    </xdr:from>
    <xdr:to>
      <xdr:col>2</xdr:col>
      <xdr:colOff>800100</xdr:colOff>
      <xdr:row>62</xdr:row>
      <xdr:rowOff>19187</xdr:rowOff>
    </xdr:to>
    <xdr:pic>
      <xdr:nvPicPr>
        <xdr:cNvPr id="2" name="Picture 1">
          <a:extLst>
            <a:ext uri="{FF2B5EF4-FFF2-40B4-BE49-F238E27FC236}">
              <a16:creationId xmlns:a16="http://schemas.microsoft.com/office/drawing/2014/main" id="{727FD934-94A3-09C1-56CA-0B846D50F21B}"/>
            </a:ext>
          </a:extLst>
        </xdr:cNvPr>
        <xdr:cNvPicPr>
          <a:picLocks noChangeAspect="1"/>
        </xdr:cNvPicPr>
      </xdr:nvPicPr>
      <xdr:blipFill>
        <a:blip xmlns:r="http://schemas.openxmlformats.org/officeDocument/2006/relationships" r:embed="rId2"/>
        <a:stretch>
          <a:fillRect/>
        </a:stretch>
      </xdr:blipFill>
      <xdr:spPr>
        <a:xfrm>
          <a:off x="0" y="8797408"/>
          <a:ext cx="5734050" cy="613429"/>
        </a:xfrm>
        <a:prstGeom prst="rect">
          <a:avLst/>
        </a:prstGeom>
      </xdr:spPr>
    </xdr:pic>
    <xdr:clientData/>
  </xdr:twoCellAnchor>
  <xdr:twoCellAnchor>
    <xdr:from>
      <xdr:col>4</xdr:col>
      <xdr:colOff>485588</xdr:colOff>
      <xdr:row>2</xdr:row>
      <xdr:rowOff>127000</xdr:rowOff>
    </xdr:from>
    <xdr:to>
      <xdr:col>6</xdr:col>
      <xdr:colOff>627287</xdr:colOff>
      <xdr:row>5</xdr:row>
      <xdr:rowOff>68384</xdr:rowOff>
    </xdr:to>
    <xdr:sp macro="" textlink="">
      <xdr:nvSpPr>
        <xdr:cNvPr id="3" name="TextBox 2">
          <a:extLst>
            <a:ext uri="{FF2B5EF4-FFF2-40B4-BE49-F238E27FC236}">
              <a16:creationId xmlns:a16="http://schemas.microsoft.com/office/drawing/2014/main" id="{22EF6B32-A5F2-004C-834A-F6EA259198BB}"/>
            </a:ext>
          </a:extLst>
        </xdr:cNvPr>
        <xdr:cNvSpPr txBox="1"/>
      </xdr:nvSpPr>
      <xdr:spPr>
        <a:xfrm>
          <a:off x="8456706" y="127000"/>
          <a:ext cx="3622993" cy="1009678"/>
        </a:xfrm>
        <a:prstGeom prst="rect">
          <a:avLst/>
        </a:prstGeom>
        <a:solidFill>
          <a:schemeClr val="accent6">
            <a:lumMod val="20000"/>
            <a:lumOff val="8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lang="en-US" sz="1100"/>
            <a:t>Exterior lighting assumptions</a:t>
          </a:r>
          <a:r>
            <a:rPr lang="en-US" sz="1100" baseline="0"/>
            <a:t> are based on the Conditioned Warehouse Prototype</a:t>
          </a:r>
          <a:endParaRPr lang="en-US" sz="1100"/>
        </a:p>
        <a:p>
          <a:endParaRPr lang="en-US" sz="1100" baseline="0"/>
        </a:p>
        <a:p>
          <a:endParaRPr lang="en-US"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118534</xdr:colOff>
      <xdr:row>2</xdr:row>
      <xdr:rowOff>42333</xdr:rowOff>
    </xdr:from>
    <xdr:to>
      <xdr:col>13</xdr:col>
      <xdr:colOff>516468</xdr:colOff>
      <xdr:row>6</xdr:row>
      <xdr:rowOff>84667</xdr:rowOff>
    </xdr:to>
    <xdr:sp macro="" textlink="">
      <xdr:nvSpPr>
        <xdr:cNvPr id="2" name="TextBox 1">
          <a:extLst>
            <a:ext uri="{FF2B5EF4-FFF2-40B4-BE49-F238E27FC236}">
              <a16:creationId xmlns:a16="http://schemas.microsoft.com/office/drawing/2014/main" id="{88CBD300-3AFE-A659-141A-6347F14CD4BF}"/>
            </a:ext>
          </a:extLst>
        </xdr:cNvPr>
        <xdr:cNvSpPr txBox="1"/>
      </xdr:nvSpPr>
      <xdr:spPr>
        <a:xfrm>
          <a:off x="6891867" y="42333"/>
          <a:ext cx="2429934" cy="905934"/>
        </a:xfrm>
        <a:prstGeom prst="rect">
          <a:avLst/>
        </a:prstGeom>
        <a:solidFill>
          <a:schemeClr val="accent6">
            <a:lumMod val="20000"/>
            <a:lumOff val="8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lang="en-US" sz="1100"/>
            <a:t>Photovoltaic systems are not required for CEH facilities by the California</a:t>
          </a:r>
          <a:r>
            <a:rPr lang="en-US" sz="1100" baseline="0"/>
            <a:t> Energy Code, </a:t>
          </a:r>
          <a:r>
            <a:rPr lang="en-US" sz="1100"/>
            <a:t>Title 24, Part 6.</a:t>
          </a: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114300</xdr:colOff>
      <xdr:row>52</xdr:row>
      <xdr:rowOff>60960</xdr:rowOff>
    </xdr:from>
    <xdr:to>
      <xdr:col>4</xdr:col>
      <xdr:colOff>38100</xdr:colOff>
      <xdr:row>63</xdr:row>
      <xdr:rowOff>86639</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723900" y="9867900"/>
          <a:ext cx="2415540" cy="20373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217714</xdr:colOff>
      <xdr:row>13</xdr:row>
      <xdr:rowOff>117929</xdr:rowOff>
    </xdr:from>
    <xdr:to>
      <xdr:col>3</xdr:col>
      <xdr:colOff>1451428</xdr:colOff>
      <xdr:row>18</xdr:row>
      <xdr:rowOff>108857</xdr:rowOff>
    </xdr:to>
    <xdr:sp macro="" textlink="">
      <xdr:nvSpPr>
        <xdr:cNvPr id="2" name="TextBox 1">
          <a:extLst>
            <a:ext uri="{FF2B5EF4-FFF2-40B4-BE49-F238E27FC236}">
              <a16:creationId xmlns:a16="http://schemas.microsoft.com/office/drawing/2014/main" id="{39989D72-DC06-3042-B8E9-58BCB60788BF}"/>
            </a:ext>
          </a:extLst>
        </xdr:cNvPr>
        <xdr:cNvSpPr txBox="1"/>
      </xdr:nvSpPr>
      <xdr:spPr>
        <a:xfrm>
          <a:off x="217714" y="4581072"/>
          <a:ext cx="3619500" cy="1977571"/>
        </a:xfrm>
        <a:prstGeom prst="rect">
          <a:avLst/>
        </a:prstGeom>
        <a:solidFill>
          <a:schemeClr val="accent6">
            <a:lumMod val="20000"/>
            <a:lumOff val="8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lang="en-US" sz="1100"/>
            <a:t>This tab provides envelope assumptions, consistent with Title 24, Part 6 requirements for</a:t>
          </a:r>
          <a:r>
            <a:rPr lang="en-US" sz="1100" baseline="0"/>
            <a:t> </a:t>
          </a:r>
          <a:r>
            <a:rPr lang="en-US" sz="1100"/>
            <a:t> a metal building. This information is provided for two "vintages" of buildings, to account for new construction and retrofits of older buildings. </a:t>
          </a:r>
        </a:p>
        <a:p>
          <a:endParaRPr lang="en-US" sz="1100"/>
        </a:p>
        <a:p>
          <a:r>
            <a:rPr lang="en-US" sz="1100"/>
            <a:t>The second table provides Infiltration assumptions for both systems. The CASE Team is particularly interested</a:t>
          </a:r>
          <a:r>
            <a:rPr lang="en-US" sz="1100" baseline="0"/>
            <a:t> in whether the infiltration assumptions are representative for indoor CEH facilities, or if the buildings are righter due to odor control requirements.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414867</xdr:colOff>
      <xdr:row>2</xdr:row>
      <xdr:rowOff>211667</xdr:rowOff>
    </xdr:from>
    <xdr:to>
      <xdr:col>8</xdr:col>
      <xdr:colOff>910167</xdr:colOff>
      <xdr:row>11</xdr:row>
      <xdr:rowOff>254000</xdr:rowOff>
    </xdr:to>
    <xdr:sp macro="" textlink="">
      <xdr:nvSpPr>
        <xdr:cNvPr id="3" name="TextBox 2">
          <a:extLst>
            <a:ext uri="{FF2B5EF4-FFF2-40B4-BE49-F238E27FC236}">
              <a16:creationId xmlns:a16="http://schemas.microsoft.com/office/drawing/2014/main" id="{002F9AAE-2F42-6840-B3F8-68826709B8F4}"/>
            </a:ext>
          </a:extLst>
        </xdr:cNvPr>
        <xdr:cNvSpPr txBox="1"/>
      </xdr:nvSpPr>
      <xdr:spPr>
        <a:xfrm>
          <a:off x="15434734" y="211667"/>
          <a:ext cx="3619500" cy="3589866"/>
        </a:xfrm>
        <a:prstGeom prst="rect">
          <a:avLst/>
        </a:prstGeom>
        <a:solidFill>
          <a:schemeClr val="accent6">
            <a:lumMod val="20000"/>
            <a:lumOff val="8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lang="en-US" sz="1100"/>
            <a:t>This tab provides procides assumptions about HVAC equipment, consistent with Title 24, Part 6 Nonresidential requirements. This information is provided for two "vintages" of buildings, to account for new construction and retrofits of older buildings. The New Construction</a:t>
          </a:r>
          <a:r>
            <a:rPr lang="en-US" sz="1100" baseline="0"/>
            <a:t> for the flowering room is consistent with the 2028 CEH Space Conditioning proposal. </a:t>
          </a:r>
        </a:p>
        <a:p>
          <a:endParaRPr lang="en-US" sz="1100" baseline="0"/>
        </a:p>
        <a:p>
          <a:r>
            <a:rPr lang="en-US" sz="1100" baseline="0"/>
            <a:t>The first table includes heating and cooling system types and air distribution (constant air volume vs. variable air volume), and standalone dehumidifiers are listed under Other Systems. </a:t>
          </a:r>
        </a:p>
        <a:p>
          <a:endParaRPr lang="en-US" sz="1100" baseline="0"/>
        </a:p>
        <a:p>
          <a:r>
            <a:rPr lang="en-US" sz="1100" baseline="0"/>
            <a:t>The second table addressed the assumed HVAC system efficiency for each table. </a:t>
          </a:r>
        </a:p>
        <a:p>
          <a:endParaRPr lang="en-US" sz="1100" baseline="0"/>
        </a:p>
        <a:p>
          <a:r>
            <a:rPr lang="en-US" sz="1100" baseline="0"/>
            <a:t>The third table addresses fan power. </a:t>
          </a:r>
        </a:p>
        <a:p>
          <a:endParaRPr lang="en-US" sz="1100" baseline="0"/>
        </a:p>
        <a:p>
          <a:r>
            <a:rPr lang="en-US" sz="1100" baseline="0"/>
            <a:t>The CASE Team would appreciate input on the HVAC and fan power assumptions.</a:t>
          </a:r>
          <a:endParaRPr lang="en-US" sz="1100"/>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313764</xdr:colOff>
      <xdr:row>23</xdr:row>
      <xdr:rowOff>101310</xdr:rowOff>
    </xdr:from>
    <xdr:to>
      <xdr:col>16</xdr:col>
      <xdr:colOff>179293</xdr:colOff>
      <xdr:row>38</xdr:row>
      <xdr:rowOff>105759</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16</xdr:col>
      <xdr:colOff>971104</xdr:colOff>
      <xdr:row>27</xdr:row>
      <xdr:rowOff>58911</xdr:rowOff>
    </xdr:from>
    <xdr:to>
      <xdr:col>18</xdr:col>
      <xdr:colOff>1006127</xdr:colOff>
      <xdr:row>36</xdr:row>
      <xdr:rowOff>37140</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stretch>
          <a:fillRect/>
        </a:stretch>
      </xdr:blipFill>
      <xdr:spPr>
        <a:xfrm>
          <a:off x="12030990" y="5447340"/>
          <a:ext cx="2122357" cy="18832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116840</xdr:colOff>
      <xdr:row>2</xdr:row>
      <xdr:rowOff>64770</xdr:rowOff>
    </xdr:from>
    <xdr:to>
      <xdr:col>14</xdr:col>
      <xdr:colOff>252730</xdr:colOff>
      <xdr:row>19</xdr:row>
      <xdr:rowOff>111760</xdr:rowOff>
    </xdr:to>
    <xdr:graphicFrame macro="">
      <xdr:nvGraphicFramePr>
        <xdr:cNvPr id="2" name="Chart 1">
          <a:extLst>
            <a:ext uri="{FF2B5EF4-FFF2-40B4-BE49-F238E27FC236}">
              <a16:creationId xmlns:a16="http://schemas.microsoft.com/office/drawing/2014/main" id="{B41D1424-1B48-5A47-B734-98E3AAF513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95250</xdr:colOff>
      <xdr:row>19</xdr:row>
      <xdr:rowOff>158750</xdr:rowOff>
    </xdr:from>
    <xdr:to>
      <xdr:col>14</xdr:col>
      <xdr:colOff>234950</xdr:colOff>
      <xdr:row>38</xdr:row>
      <xdr:rowOff>24130</xdr:rowOff>
    </xdr:to>
    <xdr:graphicFrame macro="">
      <xdr:nvGraphicFramePr>
        <xdr:cNvPr id="3" name="Chart 2">
          <a:extLst>
            <a:ext uri="{FF2B5EF4-FFF2-40B4-BE49-F238E27FC236}">
              <a16:creationId xmlns:a16="http://schemas.microsoft.com/office/drawing/2014/main" id="{AD11E07A-E4E2-A34E-87BB-4B4BA876B6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114300</xdr:colOff>
      <xdr:row>38</xdr:row>
      <xdr:rowOff>82550</xdr:rowOff>
    </xdr:from>
    <xdr:to>
      <xdr:col>13</xdr:col>
      <xdr:colOff>419100</xdr:colOff>
      <xdr:row>53</xdr:row>
      <xdr:rowOff>60960</xdr:rowOff>
    </xdr:to>
    <xdr:graphicFrame macro="">
      <xdr:nvGraphicFramePr>
        <xdr:cNvPr id="4" name="Chart 3">
          <a:extLst>
            <a:ext uri="{FF2B5EF4-FFF2-40B4-BE49-F238E27FC236}">
              <a16:creationId xmlns:a16="http://schemas.microsoft.com/office/drawing/2014/main" id="{EFFDCA0B-BDB2-D245-9828-F1098358F0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2063749</xdr:colOff>
      <xdr:row>11</xdr:row>
      <xdr:rowOff>90486</xdr:rowOff>
    </xdr:from>
    <xdr:to>
      <xdr:col>8</xdr:col>
      <xdr:colOff>488950</xdr:colOff>
      <xdr:row>31</xdr:row>
      <xdr:rowOff>95249</xdr:rowOff>
    </xdr:to>
    <xdr:graphicFrame macro="">
      <xdr:nvGraphicFramePr>
        <xdr:cNvPr id="8" name="Chart 1">
          <a:extLst>
            <a:ext uri="{FF2B5EF4-FFF2-40B4-BE49-F238E27FC236}">
              <a16:creationId xmlns:a16="http://schemas.microsoft.com/office/drawing/2014/main" id="{8F53E835-6F31-984B-B003-ADAEA870DD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19</xdr:col>
      <xdr:colOff>199571</xdr:colOff>
      <xdr:row>2</xdr:row>
      <xdr:rowOff>290286</xdr:rowOff>
    </xdr:from>
    <xdr:to>
      <xdr:col>24</xdr:col>
      <xdr:colOff>462643</xdr:colOff>
      <xdr:row>20</xdr:row>
      <xdr:rowOff>0</xdr:rowOff>
    </xdr:to>
    <xdr:sp macro="" textlink="">
      <xdr:nvSpPr>
        <xdr:cNvPr id="21" name="TextBox 4">
          <a:extLst>
            <a:ext uri="{FF2B5EF4-FFF2-40B4-BE49-F238E27FC236}">
              <a16:creationId xmlns:a16="http://schemas.microsoft.com/office/drawing/2014/main" id="{79F32C8C-FCE0-3C42-852C-2E182EEBC675}"/>
            </a:ext>
          </a:extLst>
        </xdr:cNvPr>
        <xdr:cNvSpPr txBox="1"/>
      </xdr:nvSpPr>
      <xdr:spPr>
        <a:xfrm>
          <a:off x="14647091" y="290286"/>
          <a:ext cx="3272972" cy="3900714"/>
        </a:xfrm>
        <a:prstGeom prst="rect">
          <a:avLst/>
        </a:prstGeom>
        <a:solidFill>
          <a:schemeClr val="accent6">
            <a:lumMod val="20000"/>
            <a:lumOff val="8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lang="en-US" sz="1100"/>
            <a:t>This tab provides thermostat heating and cooling setpointsand setbacks for rooms where these values do not vary with plant grow cycles. </a:t>
          </a:r>
        </a:p>
        <a:p>
          <a:endParaRPr lang="en-US" sz="1100"/>
        </a:p>
        <a:p>
          <a:r>
            <a:rPr lang="en-US" sz="1100"/>
            <a:t>Setpoints depend on lighting type. Older vintages may have non-LED grow lights,</a:t>
          </a:r>
          <a:r>
            <a:rPr lang="en-US" sz="1100" baseline="0"/>
            <a:t> while new construction will have LEDs. When using L</a:t>
          </a:r>
          <a:r>
            <a:rPr lang="en-US" sz="1100"/>
            <a:t>EDs, setpoints can be higher. This is because leaves heat up from radiant heat and lower temps are needed when leaves get hotter with non-LED lights. </a:t>
          </a:r>
        </a:p>
        <a:p>
          <a:endParaRPr lang="en-US" sz="1100"/>
        </a:p>
        <a:p>
          <a:r>
            <a:rPr lang="en-US" sz="1100"/>
            <a:t>The CASE Team would like input on whether different temperature setpoints should be considered for the older vintage than for new</a:t>
          </a:r>
          <a:r>
            <a:rPr lang="en-US" sz="1100" baseline="0"/>
            <a:t> construction.</a:t>
          </a:r>
        </a:p>
        <a:p>
          <a:endParaRPr lang="en-US" sz="1100" baseline="0"/>
        </a:p>
        <a:p>
          <a:r>
            <a:rPr lang="en-US" sz="1100" baseline="0"/>
            <a:t>The setpoints for  Office, Security, and Restrooms and have been set based on the Alternative Compliance Manual. </a:t>
          </a:r>
        </a:p>
        <a:p>
          <a:endParaRPr lang="en-US" sz="1100" baseline="0"/>
        </a:p>
        <a:p>
          <a:r>
            <a:rPr lang="en-US" sz="1100" baseline="0"/>
            <a:t>The Statewide CASE Team is especially interested in put on typical setpoints for the other spaces that are specific to CEH facilities. </a:t>
          </a:r>
        </a:p>
        <a:p>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418353</xdr:colOff>
      <xdr:row>2</xdr:row>
      <xdr:rowOff>149413</xdr:rowOff>
    </xdr:from>
    <xdr:to>
      <xdr:col>8</xdr:col>
      <xdr:colOff>1019736</xdr:colOff>
      <xdr:row>8</xdr:row>
      <xdr:rowOff>29884</xdr:rowOff>
    </xdr:to>
    <xdr:sp macro="" textlink="">
      <xdr:nvSpPr>
        <xdr:cNvPr id="2" name="TextBox 1">
          <a:extLst>
            <a:ext uri="{FF2B5EF4-FFF2-40B4-BE49-F238E27FC236}">
              <a16:creationId xmlns:a16="http://schemas.microsoft.com/office/drawing/2014/main" id="{DE35A4B5-2E59-7749-B04D-3164D6C6E282}"/>
            </a:ext>
          </a:extLst>
        </xdr:cNvPr>
        <xdr:cNvSpPr txBox="1"/>
      </xdr:nvSpPr>
      <xdr:spPr>
        <a:xfrm>
          <a:off x="10563412" y="149413"/>
          <a:ext cx="3619500" cy="1546412"/>
        </a:xfrm>
        <a:prstGeom prst="rect">
          <a:avLst/>
        </a:prstGeom>
        <a:solidFill>
          <a:schemeClr val="accent6">
            <a:lumMod val="20000"/>
            <a:lumOff val="8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lang="en-US" sz="1100"/>
            <a:t>The Water Heater assumptions are based</a:t>
          </a:r>
          <a:r>
            <a:rPr lang="en-US" sz="1100" baseline="0"/>
            <a:t> on the medium office prototype. Load profile will be pulled from ACM.</a:t>
          </a:r>
        </a:p>
        <a:p>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person displayName="Alamelu Brooks" id="{90223445-3117-44DC-957E-F2E852E7374E}" userId="S::abrooks@energy-solution.com::4796814f-821b-42dd-aa91-62982b88c019" providerId="AD"/>
  <person displayName="Jasmine Shepard" id="{FEC7D001-8A0E-4D39-BA52-79030223B0EC}" userId="S::jshepard@energy-solution.com::a21a3b61-bef5-41dc-9564-3548456020a0" providerId="AD"/>
  <person displayName="Garth Torvestad" id="{D5FA1E5A-335F-5740-8AAD-F8EEC79981ED}" userId="S::garthtorvestad@2050partners.com::89bc2aab-e9bd-4fe3-b582-6492745c99e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CDA737-3AB0-4C8A-84F2-A23CD7A58660}" name="CEH_LPD_Table" displayName="CEH_LPD_Table" ref="A39:I47">
  <autoFilter ref="A39:I47" xr:uid="{E5CDA737-3AB0-4C8A-84F2-A23CD7A58660}"/>
  <tableColumns count="9">
    <tableColumn id="1" xr3:uid="{6AF5313D-4361-41BB-A163-5F50F96219E4}" name="Space Type"/>
    <tableColumn id="2" xr3:uid="{929FB922-AD82-4C6F-B681-A7EA1E4C4EE9}" name="Target PPFD (μmol/m²/s)" dataDxfId="0"/>
    <tableColumn id="3" xr3:uid="{7BA33ED6-9450-4EAD-B62D-0B9C6E0BB6B5}" name="Fixture Efficacy (μmol/J)"/>
    <tableColumn id="9" xr3:uid="{C742716C-89ED-9B43-A7F3-0353C191F144}" name="Column1"/>
    <tableColumn id="4" xr3:uid="{2C7FD27D-381D-4184-A490-A6E0DF588196}" name="Calculated LPD (W/m²)">
      <calculatedColumnFormula>B40/C40</calculatedColumnFormula>
    </tableColumn>
    <tableColumn id="5" xr3:uid="{EBDB4CDB-71E3-4662-B31E-500078B50523}" name="Calculated LPD (W/ft²)">
      <calculatedColumnFormula>(B40/C40)/10.764</calculatedColumnFormula>
    </tableColumn>
    <tableColumn id="6" xr3:uid="{4E9A17F6-4346-4840-A16F-64ECA62C8868}" name="Formula (W/m²)">
      <calculatedColumnFormula>B40/C40</calculatedColumnFormula>
    </tableColumn>
    <tableColumn id="7" xr3:uid="{FF90546A-FE0F-416B-AAA1-F2A60EF1DA09}" name="Formula (W/ft²)">
      <calculatedColumnFormula>(B40/C40)/10.764</calculatedColumnFormula>
    </tableColumn>
    <tableColumn id="8" xr3:uid="{BF52B330-7598-4025-BC46-E4B77D67BE4B}" name="Notes"/>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7" dT="2025-10-09T08:21:32.83" personId="{D5FA1E5A-335F-5740-8AAD-F8EEC79981ED}" id="{2806C863-5BB8-3040-96D9-A2AE6EF4CFE0}">
    <text xml:space="preserve">Note that evaporative cooling (sensible bTuh) is equal to latent load for all hours.  Model needs to account for both the latent load added by plant transpiration and the sensible cooling from evapotranspiration at the same rate. </text>
  </threadedComment>
</ThreadedComments>
</file>

<file path=xl/threadedComments/threadedComment2.xml><?xml version="1.0" encoding="utf-8"?>
<ThreadedComments xmlns="http://schemas.microsoft.com/office/spreadsheetml/2018/threadedcomments" xmlns:x="http://schemas.openxmlformats.org/spreadsheetml/2006/main">
  <threadedComment ref="G4" dT="2025-10-03T13:22:03.84" personId="{90223445-3117-44DC-957E-F2E852E7374E}" id="{2A98BAE9-57DB-46B2-AE74-B3577E5F0724}">
    <text>What is the difference between this table and the table range a2:d21?</text>
  </threadedComment>
  <threadedComment ref="G4" dT="2025-10-03T14:47:40.05" personId="{FEC7D001-8A0E-4D39-BA52-79030223B0EC}" id="{2C50AF00-29B6-402E-921B-C103E5939B17}" parentId="{2A98BAE9-57DB-46B2-AE74-B3577E5F0724}">
    <text>I was following the template. There’s not a difference in the case of this prototype. It’s a transposed duplicate</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16.xml"/><Relationship Id="rId4" Type="http://schemas.microsoft.com/office/2017/10/relationships/threadedComment" Target="../threadedComments/threadedComment1.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18.xml"/><Relationship Id="rId4" Type="http://schemas.microsoft.com/office/2017/10/relationships/threadedComment" Target="../threadedComments/threadedComment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5.xml.rels><?xml version="1.0" encoding="UTF-8" standalone="yes"?>
<Relationships xmlns="http://schemas.openxmlformats.org/package/2006/relationships"><Relationship Id="rId3" Type="http://schemas.openxmlformats.org/officeDocument/2006/relationships/hyperlink" Target="https://energysolutionsonline.sharepoint.com/teams/extranet/:x:/r/teams/extranet/2028-t24/NR%20Library/Covered%20Process/CEH%20Lighting%20Controls/Previous%20Cycle%20Analysis%20(2025)/Reconciliation%20Files%20%26%20Analysis/Warehouse%20-%20ALL%20Plants/JS%20UPDATED__2.25.25__CEH%20Indoor%20Lighting.xlsx?d=wc4895b5252894213a93c70344b0c161f&amp;csf=1&amp;web=1&amp;e=St4i1R" TargetMode="External"/><Relationship Id="rId2" Type="http://schemas.openxmlformats.org/officeDocument/2006/relationships/hyperlink" Target="https://2050partners.sharepoint.com/:w:/r/sites/CalBEMCollaborativeEfforts/_layouts/15/Doc.aspx?sourcedoc=%7B3BEF8F74-7FAC-44F2-A70C-D76617660066%7D&amp;file=Infiltration_rate_report_14May2025-Short-Version.docx&amp;action=default&amp;mobileredirect=true" TargetMode="External"/><Relationship Id="rId1" Type="http://schemas.openxmlformats.org/officeDocument/2006/relationships/hyperlink" Target="https://www.energy.ca.gov/publications/2022/2022-nonresidential-and-multifamily-alternative-calculation-method-reference" TargetMode="External"/><Relationship Id="rId4" Type="http://schemas.openxmlformats.org/officeDocument/2006/relationships/hyperlink" Target="https://www.greenavengerseeds.com/ventilation-for-cannabis-grow/" TargetMode="Externa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hyperlink" Target="https://carcglgov-my.sharepoint.com/personal/fatemeh_yousefi_noresco_com/FCZ%20to%20CZ.xlsx"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2050partners.sharepoint.com/:w:/r/sites/CalBEMCollaborativeEfforts/_layouts/15/Doc.aspx?sourcedoc=%7B3BEF8F74-7FAC-44F2-A70C-D76617660066%7D&amp;file=Infiltration_rate_report_14May2025-Short-Version.docx&amp;action=default&amp;mobileredirect=true&amp;wdLOR=c37D90580-1DC7-4CAF-9995-F2723497E773"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78D81-4777-0C45-A9F3-FCF9A19832BA}">
  <dimension ref="A1:T17"/>
  <sheetViews>
    <sheetView showGridLines="0" tabSelected="1" workbookViewId="0">
      <selection activeCell="H46" sqref="H46"/>
    </sheetView>
  </sheetViews>
  <sheetFormatPr defaultColWidth="11.42578125" defaultRowHeight="15"/>
  <cols>
    <col min="14" max="14" width="8" customWidth="1"/>
    <col min="15" max="15" width="6.140625" customWidth="1"/>
  </cols>
  <sheetData>
    <row r="1" spans="1:20" s="3" customFormat="1" ht="36" customHeight="1">
      <c r="A1" s="465" t="s">
        <v>0</v>
      </c>
      <c r="B1" s="465"/>
      <c r="C1" s="465"/>
      <c r="D1" s="465"/>
      <c r="E1" s="465"/>
      <c r="F1" s="465"/>
      <c r="G1" s="465"/>
      <c r="H1" s="465"/>
      <c r="I1" s="465"/>
      <c r="J1" s="465"/>
      <c r="K1" s="466"/>
      <c r="L1" s="466"/>
      <c r="M1" s="466"/>
      <c r="N1" s="466"/>
    </row>
    <row r="3" spans="1:20">
      <c r="P3" s="482" t="s">
        <v>1</v>
      </c>
      <c r="Q3" s="482"/>
      <c r="R3" s="482"/>
      <c r="S3" s="482"/>
      <c r="T3" s="482"/>
    </row>
    <row r="4" spans="1:20">
      <c r="P4" s="482"/>
      <c r="Q4" s="482"/>
      <c r="R4" s="482"/>
      <c r="S4" s="482"/>
      <c r="T4" s="482"/>
    </row>
    <row r="5" spans="1:20">
      <c r="P5" s="482"/>
      <c r="Q5" s="482"/>
      <c r="R5" s="482"/>
      <c r="S5" s="482"/>
      <c r="T5" s="482"/>
    </row>
    <row r="6" spans="1:20">
      <c r="P6" s="482"/>
      <c r="Q6" s="482"/>
      <c r="R6" s="482"/>
      <c r="S6" s="482"/>
      <c r="T6" s="482"/>
    </row>
    <row r="7" spans="1:20">
      <c r="P7" s="482"/>
      <c r="Q7" s="482"/>
      <c r="R7" s="482"/>
      <c r="S7" s="482"/>
      <c r="T7" s="482"/>
    </row>
    <row r="8" spans="1:20">
      <c r="P8" s="482"/>
      <c r="Q8" s="482"/>
      <c r="R8" s="482"/>
      <c r="S8" s="482"/>
      <c r="T8" s="482"/>
    </row>
    <row r="9" spans="1:20">
      <c r="P9" s="482"/>
      <c r="Q9" s="482"/>
      <c r="R9" s="482"/>
      <c r="S9" s="482"/>
      <c r="T9" s="482"/>
    </row>
    <row r="10" spans="1:20">
      <c r="P10" s="482"/>
      <c r="Q10" s="482"/>
      <c r="R10" s="482"/>
      <c r="S10" s="482"/>
      <c r="T10" s="482"/>
    </row>
    <row r="11" spans="1:20">
      <c r="P11" s="482"/>
      <c r="Q11" s="482"/>
      <c r="R11" s="482"/>
      <c r="S11" s="482"/>
      <c r="T11" s="482"/>
    </row>
    <row r="12" spans="1:20">
      <c r="P12" s="482"/>
      <c r="Q12" s="482"/>
      <c r="R12" s="482"/>
      <c r="S12" s="482"/>
      <c r="T12" s="482"/>
    </row>
    <row r="13" spans="1:20">
      <c r="P13" s="482"/>
      <c r="Q13" s="482"/>
      <c r="R13" s="482"/>
      <c r="S13" s="482"/>
      <c r="T13" s="482"/>
    </row>
    <row r="14" spans="1:20">
      <c r="P14" s="482"/>
      <c r="Q14" s="482"/>
      <c r="R14" s="482"/>
      <c r="S14" s="482"/>
      <c r="T14" s="482"/>
    </row>
    <row r="15" spans="1:20">
      <c r="P15" s="482"/>
      <c r="Q15" s="482"/>
      <c r="R15" s="482"/>
      <c r="S15" s="482"/>
      <c r="T15" s="482"/>
    </row>
    <row r="16" spans="1:20">
      <c r="P16" s="482"/>
      <c r="Q16" s="482"/>
      <c r="R16" s="482"/>
      <c r="S16" s="482"/>
      <c r="T16" s="482"/>
    </row>
    <row r="17" spans="16:20">
      <c r="P17" s="482"/>
      <c r="Q17" s="482"/>
      <c r="R17" s="482"/>
      <c r="S17" s="482"/>
      <c r="T17" s="482"/>
    </row>
  </sheetData>
  <mergeCells count="1">
    <mergeCell ref="P3:T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3AA08-0AC5-4FCC-829D-381EF7CA031C}">
  <sheetPr codeName="Sheet10">
    <tabColor rgb="FF00B050"/>
  </sheetPr>
  <dimension ref="A1:AL10"/>
  <sheetViews>
    <sheetView zoomScale="170" zoomScaleNormal="170" workbookViewId="0">
      <selection activeCell="F10" sqref="F10"/>
    </sheetView>
  </sheetViews>
  <sheetFormatPr defaultColWidth="8.42578125" defaultRowHeight="12.95"/>
  <cols>
    <col min="1" max="1" width="28" style="153" customWidth="1"/>
    <col min="2" max="2" width="24.140625" style="153" customWidth="1"/>
    <col min="3" max="3" width="23.85546875" style="153" customWidth="1"/>
    <col min="4" max="4" width="27.42578125" style="153" customWidth="1"/>
    <col min="5" max="5" width="29.42578125" style="153" customWidth="1"/>
    <col min="6" max="6" width="21.140625" style="153" bestFit="1" customWidth="1"/>
    <col min="7" max="7" width="12" style="153" customWidth="1"/>
    <col min="8" max="8" width="6.42578125" style="153" customWidth="1"/>
    <col min="9" max="9" width="41.42578125" style="153" customWidth="1"/>
    <col min="10" max="10" width="24.140625" style="153" customWidth="1"/>
    <col min="11" max="12" width="15.42578125" style="153" customWidth="1"/>
    <col min="13" max="13" width="12.42578125" style="153" customWidth="1"/>
    <col min="14" max="14" width="13.42578125" style="153" customWidth="1"/>
    <col min="15" max="15" width="15.42578125" style="153" customWidth="1"/>
    <col min="16" max="16" width="11" style="153" customWidth="1"/>
    <col min="17" max="20" width="15.42578125" style="153" customWidth="1"/>
    <col min="21" max="21" width="7.42578125" style="153" hidden="1" customWidth="1"/>
    <col min="22" max="22" width="12.42578125" style="153" hidden="1" customWidth="1"/>
    <col min="23" max="38" width="6.42578125" style="153" hidden="1" customWidth="1"/>
    <col min="39" max="39" width="15.42578125" style="153" customWidth="1"/>
    <col min="40" max="40" width="11.42578125" style="153" customWidth="1"/>
    <col min="41" max="41" width="6.42578125" style="153" customWidth="1"/>
    <col min="42" max="45" width="4.42578125" style="153" customWidth="1"/>
    <col min="46" max="46" width="6.42578125" style="153" customWidth="1"/>
    <col min="47" max="61" width="4.42578125" style="153" customWidth="1"/>
    <col min="62" max="16384" width="8.42578125" style="153"/>
  </cols>
  <sheetData>
    <row r="1" spans="1:17" s="3" customFormat="1" ht="15">
      <c r="A1" s="464" t="s">
        <v>2</v>
      </c>
      <c r="B1" s="607"/>
      <c r="C1" s="608"/>
      <c r="D1" s="608"/>
      <c r="E1" s="608"/>
      <c r="F1" s="608"/>
      <c r="G1" s="608"/>
      <c r="H1" s="463"/>
      <c r="I1" s="463"/>
      <c r="J1" s="463"/>
      <c r="K1" s="463"/>
      <c r="L1" s="463"/>
      <c r="M1" s="463"/>
      <c r="N1" s="463"/>
      <c r="O1" s="463"/>
      <c r="P1" s="463"/>
      <c r="Q1" s="463"/>
    </row>
    <row r="3" spans="1:17" ht="24" customHeight="1">
      <c r="A3" s="504" t="str">
        <f>"Water Heater Summary - "&amp;Prototype!A3</f>
        <v>Water Heater Summary - Controlled Environment Horticulture</v>
      </c>
      <c r="B3" s="504"/>
      <c r="C3" s="504"/>
      <c r="D3" s="504"/>
      <c r="E3" s="504"/>
    </row>
    <row r="4" spans="1:17" ht="27" customHeight="1">
      <c r="A4" s="238" t="s">
        <v>85</v>
      </c>
      <c r="B4" s="238" t="s">
        <v>302</v>
      </c>
      <c r="C4" s="238" t="s">
        <v>303</v>
      </c>
      <c r="D4" s="238" t="s">
        <v>304</v>
      </c>
      <c r="E4" s="238" t="s">
        <v>305</v>
      </c>
    </row>
    <row r="5" spans="1:17" ht="25.5" customHeight="1">
      <c r="A5" s="233" t="s">
        <v>306</v>
      </c>
      <c r="B5" s="233" t="s">
        <v>274</v>
      </c>
      <c r="C5" s="289">
        <v>0.93</v>
      </c>
      <c r="D5" s="288">
        <v>40</v>
      </c>
      <c r="E5" s="288" t="s">
        <v>307</v>
      </c>
    </row>
    <row r="6" spans="1:17" ht="24" customHeight="1">
      <c r="A6" s="233" t="s">
        <v>187</v>
      </c>
      <c r="B6" s="233" t="s">
        <v>274</v>
      </c>
      <c r="C6" s="289">
        <v>0.93</v>
      </c>
      <c r="D6" s="288">
        <v>40</v>
      </c>
      <c r="E6" s="288" t="s">
        <v>307</v>
      </c>
    </row>
    <row r="7" spans="1:17" ht="15" customHeight="1">
      <c r="A7" s="157"/>
      <c r="B7" s="157"/>
      <c r="C7" s="157"/>
      <c r="D7" s="157"/>
      <c r="E7" s="157"/>
    </row>
    <row r="8" spans="1:17" ht="15" customHeight="1"/>
    <row r="9" spans="1:17" ht="12" customHeight="1">
      <c r="A9" s="211"/>
    </row>
    <row r="10" spans="1:17" ht="12" customHeight="1">
      <c r="A10" s="211"/>
    </row>
  </sheetData>
  <mergeCells count="1">
    <mergeCell ref="A3:E3"/>
  </mergeCells>
  <phoneticPr fontId="9" type="noConversion"/>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D1F88-80D6-41E6-977E-3A2983EE645A}">
  <sheetPr codeName="Sheet3"/>
  <dimension ref="A1:K40"/>
  <sheetViews>
    <sheetView workbookViewId="0"/>
  </sheetViews>
  <sheetFormatPr defaultColWidth="8.85546875" defaultRowHeight="15"/>
  <cols>
    <col min="1" max="1" width="17.42578125" customWidth="1"/>
    <col min="2" max="2" width="13.42578125" customWidth="1"/>
    <col min="3" max="3" width="36.42578125" customWidth="1"/>
    <col min="4" max="4" width="19.42578125" style="3" customWidth="1"/>
    <col min="5" max="11" width="12.42578125" customWidth="1"/>
    <col min="12" max="18" width="5.42578125" customWidth="1"/>
  </cols>
  <sheetData>
    <row r="1" spans="1:11" ht="32.1">
      <c r="A1" s="4" t="s">
        <v>197</v>
      </c>
      <c r="B1" s="4" t="s">
        <v>198</v>
      </c>
      <c r="C1" s="4" t="s">
        <v>199</v>
      </c>
      <c r="D1" s="4"/>
      <c r="E1" s="5" t="s">
        <v>308</v>
      </c>
      <c r="F1" s="5" t="s">
        <v>201</v>
      </c>
      <c r="G1" s="5" t="s">
        <v>202</v>
      </c>
      <c r="H1" s="5" t="s">
        <v>203</v>
      </c>
      <c r="I1" s="5" t="s">
        <v>204</v>
      </c>
      <c r="J1" s="5" t="s">
        <v>205</v>
      </c>
      <c r="K1" s="5" t="s">
        <v>206</v>
      </c>
    </row>
    <row r="2" spans="1:11">
      <c r="A2" s="6" t="s">
        <v>207</v>
      </c>
      <c r="B2" s="7" t="s">
        <v>208</v>
      </c>
      <c r="C2" s="7" t="s">
        <v>309</v>
      </c>
      <c r="E2" s="8">
        <v>2.0119266733967099E-2</v>
      </c>
      <c r="F2" s="9">
        <v>0.36728899438652901</v>
      </c>
      <c r="G2" s="9">
        <v>0.628941775932645</v>
      </c>
      <c r="H2" s="8">
        <v>3.7692296808265399E-3</v>
      </c>
      <c r="I2" s="8">
        <v>7.3895852465131221E-3</v>
      </c>
      <c r="J2" s="8">
        <v>1.2653847350123853E-2</v>
      </c>
      <c r="K2" s="8">
        <v>7.5834137330134832E-5</v>
      </c>
    </row>
    <row r="3" spans="1:11">
      <c r="A3" s="10" t="s">
        <v>210</v>
      </c>
      <c r="B3" s="7" t="s">
        <v>208</v>
      </c>
      <c r="C3" s="7" t="s">
        <v>309</v>
      </c>
      <c r="D3" s="135"/>
      <c r="E3" s="8">
        <v>1.6135745053783401E-2</v>
      </c>
      <c r="F3" s="9">
        <v>0.47987336212939902</v>
      </c>
      <c r="G3" s="9">
        <v>0.50250087794662601</v>
      </c>
      <c r="H3" s="8">
        <v>1.76257599239747E-2</v>
      </c>
      <c r="I3" s="8">
        <v>7.7431142294218614E-3</v>
      </c>
      <c r="J3" s="8">
        <v>8.1082260558490871E-3</v>
      </c>
      <c r="K3" s="8">
        <v>2.8440476851244849E-4</v>
      </c>
    </row>
    <row r="4" spans="1:11">
      <c r="A4" s="6" t="s">
        <v>211</v>
      </c>
      <c r="B4" s="7" t="s">
        <v>208</v>
      </c>
      <c r="C4" s="7" t="s">
        <v>309</v>
      </c>
      <c r="D4" s="135" t="s">
        <v>196</v>
      </c>
      <c r="E4" s="8">
        <v>1.47004515181944E-2</v>
      </c>
      <c r="F4" s="9">
        <v>0.175795128622309</v>
      </c>
      <c r="G4" s="9">
        <v>0.82420487137769105</v>
      </c>
      <c r="H4" s="8">
        <v>0</v>
      </c>
      <c r="I4" s="8">
        <v>2.5842677654470021E-3</v>
      </c>
      <c r="J4" s="8">
        <v>1.2116183752747398E-2</v>
      </c>
      <c r="K4" s="8">
        <v>0</v>
      </c>
    </row>
    <row r="5" spans="1:11">
      <c r="A5" s="10" t="s">
        <v>212</v>
      </c>
      <c r="B5" s="7" t="s">
        <v>208</v>
      </c>
      <c r="C5" s="7" t="s">
        <v>309</v>
      </c>
      <c r="D5" s="135"/>
      <c r="E5" s="8">
        <v>2.4755044915725399E-2</v>
      </c>
      <c r="F5" s="9">
        <v>0.76947624099160306</v>
      </c>
      <c r="G5" s="9">
        <v>0.230523759008397</v>
      </c>
      <c r="H5" s="8">
        <v>0</v>
      </c>
      <c r="I5" s="8">
        <v>1.9048418907330673E-2</v>
      </c>
      <c r="J5" s="8">
        <v>5.7066260083947253E-3</v>
      </c>
      <c r="K5" s="8">
        <v>0</v>
      </c>
    </row>
    <row r="6" spans="1:11">
      <c r="A6" s="10" t="s">
        <v>213</v>
      </c>
      <c r="B6" s="7" t="s">
        <v>208</v>
      </c>
      <c r="C6" s="7" t="s">
        <v>309</v>
      </c>
      <c r="D6" s="135"/>
      <c r="E6" s="8">
        <v>2.4755044915725399E-2</v>
      </c>
      <c r="F6" s="9">
        <v>0.76947624099160306</v>
      </c>
      <c r="G6" s="9">
        <v>0.230523759008397</v>
      </c>
      <c r="H6" s="8">
        <v>0</v>
      </c>
      <c r="I6" s="8">
        <v>1.9048418907330673E-2</v>
      </c>
      <c r="J6" s="8">
        <v>5.7066260083947253E-3</v>
      </c>
      <c r="K6" s="8">
        <v>0</v>
      </c>
    </row>
    <row r="7" spans="1:11">
      <c r="A7" s="10" t="s">
        <v>214</v>
      </c>
      <c r="B7" s="7" t="s">
        <v>208</v>
      </c>
      <c r="C7" s="7" t="s">
        <v>309</v>
      </c>
      <c r="D7" s="135"/>
      <c r="E7" s="8">
        <v>5.00730176692325E-2</v>
      </c>
      <c r="F7" s="9">
        <v>0.58143569768308501</v>
      </c>
      <c r="G7" s="9">
        <v>0.41856430231691499</v>
      </c>
      <c r="H7" s="8">
        <v>0</v>
      </c>
      <c r="I7" s="8">
        <v>2.9114239963607642E-2</v>
      </c>
      <c r="J7" s="8">
        <v>2.0958777705624859E-2</v>
      </c>
      <c r="K7" s="8">
        <v>0</v>
      </c>
    </row>
    <row r="8" spans="1:11">
      <c r="A8" s="6" t="s">
        <v>215</v>
      </c>
      <c r="B8" s="7" t="s">
        <v>208</v>
      </c>
      <c r="C8" s="7" t="s">
        <v>309</v>
      </c>
      <c r="D8" s="135" t="s">
        <v>196</v>
      </c>
      <c r="E8" s="8">
        <v>1.6879395011980901E-2</v>
      </c>
      <c r="F8" s="9">
        <v>1.7126658714501301E-2</v>
      </c>
      <c r="G8" s="9">
        <v>0.98287334128549897</v>
      </c>
      <c r="H8" s="8">
        <v>0</v>
      </c>
      <c r="I8" s="8">
        <v>2.890876376774525E-4</v>
      </c>
      <c r="J8" s="8">
        <v>1.6590307374303451E-2</v>
      </c>
      <c r="K8" s="8">
        <v>0</v>
      </c>
    </row>
    <row r="9" spans="1:11">
      <c r="A9" s="6" t="s">
        <v>216</v>
      </c>
      <c r="B9" s="7" t="s">
        <v>208</v>
      </c>
      <c r="C9" s="7" t="s">
        <v>309</v>
      </c>
      <c r="D9" s="135" t="s">
        <v>196</v>
      </c>
      <c r="E9" s="8">
        <v>2.3652968169980301E-2</v>
      </c>
      <c r="F9" s="9">
        <v>0.174835163446798</v>
      </c>
      <c r="G9" s="9">
        <v>0.82516483655320205</v>
      </c>
      <c r="H9" s="8">
        <v>0</v>
      </c>
      <c r="I9" s="8">
        <v>4.1353705560004169E-3</v>
      </c>
      <c r="J9" s="8">
        <v>1.9517597613979885E-2</v>
      </c>
      <c r="K9" s="8">
        <v>0</v>
      </c>
    </row>
    <row r="10" spans="1:11">
      <c r="A10" s="6" t="s">
        <v>217</v>
      </c>
      <c r="B10" s="7" t="s">
        <v>208</v>
      </c>
      <c r="C10" s="7" t="s">
        <v>309</v>
      </c>
      <c r="D10" s="135"/>
      <c r="E10" s="8">
        <v>1.61637197088648E-2</v>
      </c>
      <c r="F10" s="9">
        <v>0.232534608647573</v>
      </c>
      <c r="G10" s="9">
        <v>0.76746539135242697</v>
      </c>
      <c r="H10" s="8">
        <v>0</v>
      </c>
      <c r="I10" s="8">
        <v>3.7586242367899387E-3</v>
      </c>
      <c r="J10" s="8">
        <v>1.2405095472074862E-2</v>
      </c>
      <c r="K10" s="8">
        <v>0</v>
      </c>
    </row>
    <row r="11" spans="1:11">
      <c r="A11" s="6" t="s">
        <v>218</v>
      </c>
      <c r="B11" s="7" t="s">
        <v>208</v>
      </c>
      <c r="C11" s="7" t="s">
        <v>309</v>
      </c>
      <c r="D11" s="135"/>
      <c r="E11" s="8">
        <v>2.1460625286961701E-2</v>
      </c>
      <c r="F11" s="9">
        <v>0.24364847067787099</v>
      </c>
      <c r="G11" s="9">
        <v>0.75635152932212901</v>
      </c>
      <c r="H11" s="8">
        <v>0</v>
      </c>
      <c r="I11" s="8">
        <v>5.2288485309590644E-3</v>
      </c>
      <c r="J11" s="8">
        <v>1.6231776756002635E-2</v>
      </c>
      <c r="K11" s="8">
        <v>0</v>
      </c>
    </row>
    <row r="12" spans="1:11">
      <c r="A12" s="6" t="s">
        <v>219</v>
      </c>
      <c r="B12" s="7" t="s">
        <v>208</v>
      </c>
      <c r="C12" s="7" t="s">
        <v>309</v>
      </c>
      <c r="D12" s="135"/>
      <c r="E12" s="8">
        <v>1.6965580507528201E-2</v>
      </c>
      <c r="F12" s="9">
        <v>0.255758253067004</v>
      </c>
      <c r="G12" s="9">
        <v>0.74424174693299605</v>
      </c>
      <c r="H12" s="8">
        <v>0</v>
      </c>
      <c r="I12" s="8">
        <v>4.3390872328730274E-3</v>
      </c>
      <c r="J12" s="8">
        <v>1.2626493274655174E-2</v>
      </c>
      <c r="K12" s="8">
        <v>0</v>
      </c>
    </row>
    <row r="13" spans="1:11">
      <c r="A13" s="10" t="s">
        <v>220</v>
      </c>
      <c r="B13" s="7" t="s">
        <v>208</v>
      </c>
      <c r="C13" s="7" t="s">
        <v>309</v>
      </c>
      <c r="D13" s="135"/>
      <c r="E13" s="8">
        <v>2.0916604283105801E-2</v>
      </c>
      <c r="F13" s="9">
        <v>0.56741362856852595</v>
      </c>
      <c r="G13" s="9">
        <v>0.43258637143147399</v>
      </c>
      <c r="H13" s="8">
        <v>0</v>
      </c>
      <c r="I13" s="8">
        <v>1.1868366333609034E-2</v>
      </c>
      <c r="J13" s="8">
        <v>9.0482379494967666E-3</v>
      </c>
      <c r="K13" s="8">
        <v>0</v>
      </c>
    </row>
    <row r="14" spans="1:11">
      <c r="A14" s="6" t="s">
        <v>221</v>
      </c>
      <c r="B14" s="7" t="s">
        <v>208</v>
      </c>
      <c r="C14" s="7" t="s">
        <v>309</v>
      </c>
      <c r="D14" s="135"/>
      <c r="E14" s="8">
        <v>2.00223200444258E-2</v>
      </c>
      <c r="F14" s="9">
        <v>0.37811695085799801</v>
      </c>
      <c r="G14" s="9">
        <v>0.62188304914200199</v>
      </c>
      <c r="H14" s="8">
        <v>0</v>
      </c>
      <c r="I14" s="8">
        <v>7.5707786043012586E-3</v>
      </c>
      <c r="J14" s="8">
        <v>1.2451541440124541E-2</v>
      </c>
      <c r="K14" s="8">
        <v>0</v>
      </c>
    </row>
    <row r="15" spans="1:11">
      <c r="A15" s="10" t="s">
        <v>223</v>
      </c>
      <c r="B15" s="7" t="s">
        <v>208</v>
      </c>
      <c r="C15" s="7" t="s">
        <v>309</v>
      </c>
      <c r="D15" s="135"/>
      <c r="E15" s="8">
        <v>5.53880038771271E-3</v>
      </c>
      <c r="F15" s="9">
        <v>0.75222323583728001</v>
      </c>
      <c r="G15" s="9">
        <v>0.24777676416271999</v>
      </c>
      <c r="H15" s="8">
        <v>0</v>
      </c>
      <c r="I15" s="8">
        <v>4.1664143503020359E-3</v>
      </c>
      <c r="J15" s="8">
        <v>1.3723860374106741E-3</v>
      </c>
      <c r="K15" s="8">
        <v>0</v>
      </c>
    </row>
    <row r="16" spans="1:11">
      <c r="A16" s="10" t="s">
        <v>224</v>
      </c>
      <c r="B16" s="7" t="s">
        <v>208</v>
      </c>
      <c r="C16" s="7" t="s">
        <v>309</v>
      </c>
      <c r="D16" s="135"/>
      <c r="E16" s="8">
        <v>1.6186866460825799E-2</v>
      </c>
      <c r="F16" s="9">
        <v>0.48031792809513002</v>
      </c>
      <c r="G16" s="9">
        <v>0.51383014843259001</v>
      </c>
      <c r="H16" s="8">
        <v>5.8519234722807902E-3</v>
      </c>
      <c r="I16" s="8">
        <v>7.7748421608163981E-3</v>
      </c>
      <c r="J16" s="8">
        <v>8.3172999962246325E-3</v>
      </c>
      <c r="K16" s="8">
        <v>9.4724303784781167E-5</v>
      </c>
    </row>
    <row r="17" spans="1:11">
      <c r="A17" s="6" t="s">
        <v>226</v>
      </c>
      <c r="B17" s="7" t="s">
        <v>208</v>
      </c>
      <c r="C17" s="7" t="s">
        <v>309</v>
      </c>
      <c r="D17" s="135" t="s">
        <v>196</v>
      </c>
      <c r="E17" s="8">
        <v>6.08039364764194E-3</v>
      </c>
      <c r="F17" s="9">
        <v>0.210872325346559</v>
      </c>
      <c r="G17" s="9">
        <v>0.78912767465344102</v>
      </c>
      <c r="H17" s="8">
        <v>0</v>
      </c>
      <c r="I17" s="8">
        <v>1.2821867475007018E-3</v>
      </c>
      <c r="J17" s="8">
        <v>4.7982069001412386E-3</v>
      </c>
      <c r="K17" s="8">
        <v>0</v>
      </c>
    </row>
    <row r="18" spans="1:11">
      <c r="A18" s="6" t="s">
        <v>228</v>
      </c>
      <c r="B18" s="7" t="s">
        <v>208</v>
      </c>
      <c r="C18" s="7" t="s">
        <v>309</v>
      </c>
      <c r="D18" s="135" t="s">
        <v>196</v>
      </c>
      <c r="E18" s="8">
        <v>1.03273988958147E-2</v>
      </c>
      <c r="F18" s="9">
        <v>1.7611914496889602E-2</v>
      </c>
      <c r="G18" s="9">
        <v>0.98238808550310996</v>
      </c>
      <c r="H18" s="8">
        <v>0</v>
      </c>
      <c r="I18" s="8">
        <v>1.8188526632836058E-4</v>
      </c>
      <c r="J18" s="8">
        <v>1.0145513629486335E-2</v>
      </c>
      <c r="K18" s="8">
        <v>0</v>
      </c>
    </row>
    <row r="23" spans="1:11" ht="48">
      <c r="A23" s="4" t="s">
        <v>310</v>
      </c>
      <c r="B23" s="4" t="s">
        <v>198</v>
      </c>
      <c r="C23" s="4" t="s">
        <v>199</v>
      </c>
      <c r="D23" s="4"/>
      <c r="E23" s="5" t="s">
        <v>311</v>
      </c>
      <c r="F23" s="5" t="s">
        <v>201</v>
      </c>
      <c r="G23" s="5" t="s">
        <v>202</v>
      </c>
      <c r="H23" s="5" t="s">
        <v>203</v>
      </c>
      <c r="I23" s="5" t="s">
        <v>204</v>
      </c>
      <c r="J23" s="5" t="s">
        <v>205</v>
      </c>
      <c r="K23" s="5" t="s">
        <v>206</v>
      </c>
    </row>
    <row r="24" spans="1:11">
      <c r="A24" s="6" t="s">
        <v>207</v>
      </c>
      <c r="B24" s="7" t="s">
        <v>208</v>
      </c>
      <c r="C24" s="7" t="s">
        <v>312</v>
      </c>
      <c r="D24" s="12"/>
      <c r="E24" s="13">
        <v>4.2513247874802502E-3</v>
      </c>
      <c r="F24" s="13">
        <v>0.36728899438652901</v>
      </c>
      <c r="G24" s="13">
        <v>0.628941775932645</v>
      </c>
      <c r="H24" s="13">
        <v>3.7692296808265399E-3</v>
      </c>
      <c r="I24" s="13">
        <v>1.5614648060041452E-3</v>
      </c>
      <c r="J24" s="13">
        <v>2.6738357619043029E-3</v>
      </c>
      <c r="K24" s="13">
        <v>1.602421957180414E-5</v>
      </c>
    </row>
    <row r="25" spans="1:11">
      <c r="A25" s="6" t="s">
        <v>210</v>
      </c>
      <c r="B25" s="7" t="s">
        <v>208</v>
      </c>
      <c r="C25" s="7" t="s">
        <v>312</v>
      </c>
      <c r="D25" s="12"/>
      <c r="E25" s="13">
        <v>5.5971614418428199E-3</v>
      </c>
      <c r="F25" s="13">
        <v>0.47987336212939902</v>
      </c>
      <c r="G25" s="13">
        <v>0.50250087794662601</v>
      </c>
      <c r="H25" s="13">
        <v>1.76257599239747E-2</v>
      </c>
      <c r="I25" s="13">
        <v>2.6859286794781488E-3</v>
      </c>
      <c r="J25" s="13">
        <v>2.81257853853502E-3</v>
      </c>
      <c r="K25" s="13">
        <v>9.865422382964962E-5</v>
      </c>
    </row>
    <row r="26" spans="1:11">
      <c r="A26" s="6" t="s">
        <v>211</v>
      </c>
      <c r="B26" s="7" t="s">
        <v>208</v>
      </c>
      <c r="C26" s="7" t="s">
        <v>312</v>
      </c>
      <c r="D26" s="12"/>
      <c r="E26" s="13">
        <v>4.2162426806837301E-3</v>
      </c>
      <c r="F26" s="13">
        <v>0.175795128622309</v>
      </c>
      <c r="G26" s="13">
        <v>0.82420487137769105</v>
      </c>
      <c r="H26" s="13">
        <v>0</v>
      </c>
      <c r="I26" s="13">
        <v>7.4119492435366526E-4</v>
      </c>
      <c r="J26" s="13">
        <v>3.4750477563300652E-3</v>
      </c>
      <c r="K26" s="13">
        <v>0</v>
      </c>
    </row>
    <row r="27" spans="1:11">
      <c r="A27" s="6" t="s">
        <v>212</v>
      </c>
      <c r="B27" s="7" t="s">
        <v>208</v>
      </c>
      <c r="C27" s="7" t="s">
        <v>312</v>
      </c>
      <c r="D27" s="12"/>
      <c r="E27" s="13">
        <v>2.9787351420623798E-3</v>
      </c>
      <c r="F27" s="13">
        <v>0.76947624099160306</v>
      </c>
      <c r="G27" s="13">
        <v>0.230523759008397</v>
      </c>
      <c r="H27" s="13">
        <v>0</v>
      </c>
      <c r="I27" s="13">
        <v>2.2920659200237488E-3</v>
      </c>
      <c r="J27" s="13">
        <v>6.8666922203863129E-4</v>
      </c>
      <c r="K27" s="13">
        <v>0</v>
      </c>
    </row>
    <row r="28" spans="1:11">
      <c r="A28" s="6" t="s">
        <v>213</v>
      </c>
      <c r="B28" s="7" t="s">
        <v>208</v>
      </c>
      <c r="C28" s="7" t="s">
        <v>312</v>
      </c>
      <c r="D28" s="12"/>
      <c r="E28" s="13">
        <v>2.9787351420623798E-3</v>
      </c>
      <c r="F28" s="13">
        <v>0.76947624099160306</v>
      </c>
      <c r="G28" s="13">
        <v>0.230523759008397</v>
      </c>
      <c r="H28" s="13">
        <v>0</v>
      </c>
      <c r="I28" s="13">
        <v>2.2920659200237488E-3</v>
      </c>
      <c r="J28" s="13">
        <v>6.8666922203863129E-4</v>
      </c>
      <c r="K28" s="13">
        <v>0</v>
      </c>
    </row>
    <row r="29" spans="1:11">
      <c r="A29" s="6" t="s">
        <v>214</v>
      </c>
      <c r="B29" s="7" t="s">
        <v>208</v>
      </c>
      <c r="C29" s="7" t="s">
        <v>312</v>
      </c>
      <c r="D29" s="12"/>
      <c r="E29" s="13">
        <v>5.8178622236776702E-3</v>
      </c>
      <c r="F29" s="13">
        <v>0.58143569768308501</v>
      </c>
      <c r="G29" s="13">
        <v>0.41856430231691499</v>
      </c>
      <c r="H29" s="13">
        <v>0</v>
      </c>
      <c r="I29" s="13">
        <v>3.3827127810480903E-3</v>
      </c>
      <c r="J29" s="13">
        <v>2.4351494426295799E-3</v>
      </c>
      <c r="K29" s="13">
        <v>0</v>
      </c>
    </row>
    <row r="30" spans="1:11">
      <c r="A30" s="6" t="s">
        <v>215</v>
      </c>
      <c r="B30" s="7" t="s">
        <v>208</v>
      </c>
      <c r="C30" s="7" t="s">
        <v>312</v>
      </c>
      <c r="D30" s="12"/>
      <c r="E30" s="13">
        <v>3.7115530086910399E-3</v>
      </c>
      <c r="F30" s="13">
        <v>1.7126658714501301E-2</v>
      </c>
      <c r="G30" s="13">
        <v>0.98287334128549897</v>
      </c>
      <c r="H30" s="13">
        <v>0</v>
      </c>
      <c r="I30" s="13">
        <v>6.3566501680631927E-5</v>
      </c>
      <c r="J30" s="13">
        <v>3.6479865070104091E-3</v>
      </c>
      <c r="K30" s="13">
        <v>0</v>
      </c>
    </row>
    <row r="31" spans="1:11">
      <c r="A31" s="6" t="s">
        <v>216</v>
      </c>
      <c r="B31" s="7" t="s">
        <v>208</v>
      </c>
      <c r="C31" s="7" t="s">
        <v>312</v>
      </c>
      <c r="D31" s="12"/>
      <c r="E31" s="13">
        <v>4.2121502396861099E-3</v>
      </c>
      <c r="F31" s="13">
        <v>0.174835163446798</v>
      </c>
      <c r="G31" s="13">
        <v>0.82516483655320205</v>
      </c>
      <c r="H31" s="13">
        <v>0</v>
      </c>
      <c r="I31" s="13">
        <v>7.3643197561799043E-4</v>
      </c>
      <c r="J31" s="13">
        <v>3.4757182640681198E-3</v>
      </c>
      <c r="K31" s="13">
        <v>0</v>
      </c>
    </row>
    <row r="32" spans="1:11">
      <c r="A32" s="6" t="s">
        <v>217</v>
      </c>
      <c r="B32" s="7" t="s">
        <v>208</v>
      </c>
      <c r="C32" s="7" t="s">
        <v>312</v>
      </c>
      <c r="D32" s="12"/>
      <c r="E32" s="13">
        <v>1.9572729785411898E-3</v>
      </c>
      <c r="F32" s="13">
        <v>0.232534608647573</v>
      </c>
      <c r="G32" s="13">
        <v>0.76746539135242697</v>
      </c>
      <c r="H32" s="13">
        <v>0</v>
      </c>
      <c r="I32" s="13">
        <v>4.551337060815451E-4</v>
      </c>
      <c r="J32" s="13">
        <v>1.5021392724596447E-3</v>
      </c>
      <c r="K32" s="13">
        <v>0</v>
      </c>
    </row>
    <row r="33" spans="1:11">
      <c r="A33" s="6" t="s">
        <v>218</v>
      </c>
      <c r="B33" s="7" t="s">
        <v>208</v>
      </c>
      <c r="C33" s="7" t="s">
        <v>312</v>
      </c>
      <c r="D33" s="12"/>
      <c r="E33" s="13">
        <v>2.04183990214172E-3</v>
      </c>
      <c r="F33" s="13">
        <v>0.24364847067787099</v>
      </c>
      <c r="G33" s="13">
        <v>0.75635152932212901</v>
      </c>
      <c r="H33" s="13">
        <v>0</v>
      </c>
      <c r="I33" s="13">
        <v>4.9749116952588386E-4</v>
      </c>
      <c r="J33" s="13">
        <v>1.5443487326158361E-3</v>
      </c>
      <c r="K33" s="13">
        <v>0</v>
      </c>
    </row>
    <row r="34" spans="1:11">
      <c r="A34" s="6" t="s">
        <v>219</v>
      </c>
      <c r="B34" s="7" t="s">
        <v>208</v>
      </c>
      <c r="C34" s="7" t="s">
        <v>312</v>
      </c>
      <c r="D34" s="12"/>
      <c r="E34" s="13">
        <v>3.73791611675711E-3</v>
      </c>
      <c r="F34" s="13">
        <v>0.255758253067004</v>
      </c>
      <c r="G34" s="13">
        <v>0.74424174693299605</v>
      </c>
      <c r="H34" s="13">
        <v>0</v>
      </c>
      <c r="I34" s="13">
        <v>9.5600289613279781E-4</v>
      </c>
      <c r="J34" s="13">
        <v>2.7819132206243122E-3</v>
      </c>
      <c r="K34" s="13">
        <v>0</v>
      </c>
    </row>
    <row r="35" spans="1:11">
      <c r="A35" s="6" t="s">
        <v>220</v>
      </c>
      <c r="B35" s="7" t="s">
        <v>208</v>
      </c>
      <c r="C35" s="7" t="s">
        <v>312</v>
      </c>
      <c r="D35" s="12"/>
      <c r="E35" s="13">
        <v>4.8031981229041103E-3</v>
      </c>
      <c r="F35" s="13">
        <v>0.56741362856852595</v>
      </c>
      <c r="G35" s="13">
        <v>0.43258637143147399</v>
      </c>
      <c r="H35" s="13">
        <v>0</v>
      </c>
      <c r="I35" s="13">
        <v>2.7254000756505537E-3</v>
      </c>
      <c r="J35" s="13">
        <v>2.0777980472535562E-3</v>
      </c>
      <c r="K35" s="13">
        <v>0</v>
      </c>
    </row>
    <row r="36" spans="1:11">
      <c r="A36" s="6" t="s">
        <v>221</v>
      </c>
      <c r="B36" s="7" t="s">
        <v>208</v>
      </c>
      <c r="C36" s="7" t="s">
        <v>312</v>
      </c>
      <c r="D36" s="12"/>
      <c r="E36" s="13">
        <v>5.2311166351121496E-3</v>
      </c>
      <c r="F36" s="13">
        <v>0.37811695085799801</v>
      </c>
      <c r="G36" s="13">
        <v>0.62188304914200199</v>
      </c>
      <c r="H36" s="13">
        <v>0</v>
      </c>
      <c r="I36" s="13">
        <v>1.9779738716511567E-3</v>
      </c>
      <c r="J36" s="13">
        <v>3.2531427634609929E-3</v>
      </c>
      <c r="K36" s="13">
        <v>0</v>
      </c>
    </row>
    <row r="37" spans="1:11">
      <c r="A37" s="6" t="s">
        <v>223</v>
      </c>
      <c r="B37" s="7" t="s">
        <v>208</v>
      </c>
      <c r="C37" s="7" t="s">
        <v>312</v>
      </c>
      <c r="D37" s="12"/>
      <c r="E37" s="13">
        <v>8.6101944163014801E-4</v>
      </c>
      <c r="F37" s="13">
        <v>0.75222323583728001</v>
      </c>
      <c r="G37" s="13">
        <v>0.24777676416271999</v>
      </c>
      <c r="H37" s="13">
        <v>0</v>
      </c>
      <c r="I37" s="13">
        <v>6.4767883050183793E-4</v>
      </c>
      <c r="J37" s="13">
        <v>2.1334061112831003E-4</v>
      </c>
      <c r="K37" s="13">
        <v>0</v>
      </c>
    </row>
    <row r="38" spans="1:11">
      <c r="A38" s="6" t="s">
        <v>224</v>
      </c>
      <c r="B38" s="7" t="s">
        <v>208</v>
      </c>
      <c r="C38" s="7" t="s">
        <v>312</v>
      </c>
      <c r="D38" s="12"/>
      <c r="E38" s="13">
        <v>6.3769933116409501E-3</v>
      </c>
      <c r="F38" s="13">
        <v>0.48031792809513002</v>
      </c>
      <c r="G38" s="13">
        <v>0.51383014843259001</v>
      </c>
      <c r="H38" s="13">
        <v>5.8519234722807902E-3</v>
      </c>
      <c r="I38" s="13">
        <v>3.0629842149238829E-3</v>
      </c>
      <c r="J38" s="13">
        <v>3.2766914198741029E-3</v>
      </c>
      <c r="K38" s="13">
        <v>3.7317676842969281E-5</v>
      </c>
    </row>
    <row r="39" spans="1:11">
      <c r="A39" s="6" t="s">
        <v>226</v>
      </c>
      <c r="B39" s="7" t="s">
        <v>208</v>
      </c>
      <c r="C39" s="7" t="s">
        <v>312</v>
      </c>
      <c r="D39" s="12"/>
      <c r="E39" s="13">
        <v>1.04669861373965E-3</v>
      </c>
      <c r="F39" s="13">
        <v>0.210872325346559</v>
      </c>
      <c r="G39" s="13">
        <v>0.78912767465344102</v>
      </c>
      <c r="H39" s="13">
        <v>0</v>
      </c>
      <c r="I39" s="13">
        <v>2.2071977061629977E-4</v>
      </c>
      <c r="J39" s="13">
        <v>8.2597884312335032E-4</v>
      </c>
      <c r="K39" s="13">
        <v>0</v>
      </c>
    </row>
    <row r="40" spans="1:11">
      <c r="A40" s="6" t="s">
        <v>228</v>
      </c>
      <c r="B40" s="7" t="s">
        <v>208</v>
      </c>
      <c r="C40" s="7" t="s">
        <v>312</v>
      </c>
      <c r="D40" s="12"/>
      <c r="E40" s="13">
        <v>7.6819869422913804E-4</v>
      </c>
      <c r="F40" s="13">
        <v>1.7611914496889602E-2</v>
      </c>
      <c r="G40" s="13">
        <v>0.98238808550310996</v>
      </c>
      <c r="H40" s="13">
        <v>0</v>
      </c>
      <c r="I40" s="13">
        <v>1.3529449719385819E-5</v>
      </c>
      <c r="J40" s="13">
        <v>7.5466924450975188E-4</v>
      </c>
      <c r="K40" s="13">
        <v>0</v>
      </c>
    </row>
  </sheetData>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CE7BC-F5FC-4524-AAF2-AC61714BD837}">
  <sheetPr codeName="Sheet12"/>
  <dimension ref="A1:J18"/>
  <sheetViews>
    <sheetView workbookViewId="0"/>
  </sheetViews>
  <sheetFormatPr defaultColWidth="8.85546875" defaultRowHeight="15"/>
  <cols>
    <col min="1" max="1" width="16.42578125" customWidth="1"/>
    <col min="2" max="2" width="12.42578125" customWidth="1"/>
    <col min="3" max="3" width="15.42578125" customWidth="1"/>
    <col min="4" max="4" width="14.42578125" customWidth="1"/>
    <col min="5" max="5" width="11" customWidth="1"/>
    <col min="7" max="8" width="11.42578125" customWidth="1"/>
    <col min="9" max="9" width="10.42578125" customWidth="1"/>
    <col min="10" max="10" width="12.42578125" customWidth="1"/>
  </cols>
  <sheetData>
    <row r="1" spans="1:10" ht="32.1">
      <c r="A1" s="11" t="s">
        <v>197</v>
      </c>
      <c r="B1" s="4" t="s">
        <v>198</v>
      </c>
      <c r="C1" s="4" t="s">
        <v>199</v>
      </c>
      <c r="D1" s="5" t="s">
        <v>200</v>
      </c>
      <c r="E1" s="5" t="s">
        <v>201</v>
      </c>
      <c r="F1" s="5" t="s">
        <v>202</v>
      </c>
      <c r="G1" s="5" t="s">
        <v>203</v>
      </c>
      <c r="H1" s="5" t="s">
        <v>204</v>
      </c>
      <c r="I1" s="5" t="s">
        <v>205</v>
      </c>
      <c r="J1" s="5" t="s">
        <v>206</v>
      </c>
    </row>
    <row r="2" spans="1:10">
      <c r="A2" s="6" t="s">
        <v>207</v>
      </c>
      <c r="B2" s="7" t="s">
        <v>208</v>
      </c>
      <c r="C2" s="7" t="s">
        <v>313</v>
      </c>
      <c r="D2" s="13">
        <v>0.1553155410424</v>
      </c>
      <c r="E2" s="13" t="s">
        <v>314</v>
      </c>
      <c r="F2" s="13" t="s">
        <v>314</v>
      </c>
      <c r="G2" s="13" t="s">
        <v>314</v>
      </c>
      <c r="H2" s="13">
        <v>0.1553155410424</v>
      </c>
      <c r="I2" s="13">
        <v>0</v>
      </c>
      <c r="J2" s="13">
        <v>0</v>
      </c>
    </row>
    <row r="3" spans="1:10">
      <c r="A3" s="6" t="s">
        <v>210</v>
      </c>
      <c r="B3" s="7" t="s">
        <v>208</v>
      </c>
      <c r="C3" s="7" t="s">
        <v>313</v>
      </c>
      <c r="D3" s="13">
        <v>0.161273857109418</v>
      </c>
      <c r="E3" s="13" t="s">
        <v>314</v>
      </c>
      <c r="F3" s="13" t="s">
        <v>314</v>
      </c>
      <c r="G3" s="13" t="s">
        <v>314</v>
      </c>
      <c r="H3" s="13">
        <v>0.161273857109418</v>
      </c>
      <c r="I3" s="13">
        <v>0</v>
      </c>
      <c r="J3" s="13">
        <v>0</v>
      </c>
    </row>
    <row r="4" spans="1:10">
      <c r="A4" s="6" t="s">
        <v>211</v>
      </c>
      <c r="B4" s="7" t="s">
        <v>208</v>
      </c>
      <c r="C4" s="7" t="s">
        <v>313</v>
      </c>
      <c r="D4" s="13">
        <v>0.16046382703446699</v>
      </c>
      <c r="E4" s="13" t="s">
        <v>314</v>
      </c>
      <c r="F4" s="13" t="s">
        <v>314</v>
      </c>
      <c r="G4" s="13" t="s">
        <v>314</v>
      </c>
      <c r="H4" s="13">
        <v>0.16046382703446699</v>
      </c>
      <c r="I4" s="13">
        <v>0</v>
      </c>
      <c r="J4" s="13">
        <v>0</v>
      </c>
    </row>
    <row r="5" spans="1:10">
      <c r="A5" s="6" t="s">
        <v>212</v>
      </c>
      <c r="B5" s="7" t="s">
        <v>208</v>
      </c>
      <c r="C5" s="7" t="s">
        <v>313</v>
      </c>
      <c r="D5" s="13">
        <v>0.17700837950041301</v>
      </c>
      <c r="E5" s="13" t="s">
        <v>314</v>
      </c>
      <c r="F5" s="13" t="s">
        <v>314</v>
      </c>
      <c r="G5" s="13" t="s">
        <v>314</v>
      </c>
      <c r="H5" s="13">
        <v>0.17700837950041301</v>
      </c>
      <c r="I5" s="13">
        <v>0</v>
      </c>
      <c r="J5" s="13">
        <v>0</v>
      </c>
    </row>
    <row r="6" spans="1:10">
      <c r="A6" s="6" t="s">
        <v>213</v>
      </c>
      <c r="B6" s="7" t="s">
        <v>208</v>
      </c>
      <c r="C6" s="7" t="s">
        <v>313</v>
      </c>
      <c r="D6" s="13">
        <v>0.17700837950041301</v>
      </c>
      <c r="E6" s="13" t="s">
        <v>314</v>
      </c>
      <c r="F6" s="13" t="s">
        <v>314</v>
      </c>
      <c r="G6" s="13" t="s">
        <v>314</v>
      </c>
      <c r="H6" s="13">
        <v>0.17700837950041301</v>
      </c>
      <c r="I6" s="13">
        <v>0</v>
      </c>
      <c r="J6" s="13">
        <v>0</v>
      </c>
    </row>
    <row r="7" spans="1:10">
      <c r="A7" s="6" t="s">
        <v>214</v>
      </c>
      <c r="B7" s="7" t="s">
        <v>208</v>
      </c>
      <c r="C7" s="7" t="s">
        <v>313</v>
      </c>
      <c r="D7" s="13">
        <v>0.11292693568274401</v>
      </c>
      <c r="E7" s="13" t="s">
        <v>314</v>
      </c>
      <c r="F7" s="13" t="s">
        <v>314</v>
      </c>
      <c r="G7" s="13" t="s">
        <v>314</v>
      </c>
      <c r="H7" s="13">
        <v>0.11292693568274401</v>
      </c>
      <c r="I7" s="13">
        <v>0</v>
      </c>
      <c r="J7" s="13">
        <v>0</v>
      </c>
    </row>
    <row r="8" spans="1:10">
      <c r="A8" s="6" t="s">
        <v>215</v>
      </c>
      <c r="B8" s="7" t="s">
        <v>208</v>
      </c>
      <c r="C8" s="7" t="s">
        <v>313</v>
      </c>
      <c r="D8" s="13">
        <v>0.199487040179542</v>
      </c>
      <c r="E8" s="13" t="s">
        <v>314</v>
      </c>
      <c r="F8" s="13" t="s">
        <v>314</v>
      </c>
      <c r="G8" s="13" t="s">
        <v>314</v>
      </c>
      <c r="H8" s="13">
        <v>0.199487040179542</v>
      </c>
      <c r="I8" s="13">
        <v>0</v>
      </c>
      <c r="J8" s="13">
        <v>0</v>
      </c>
    </row>
    <row r="9" spans="1:10">
      <c r="A9" s="6" t="s">
        <v>216</v>
      </c>
      <c r="B9" s="7" t="s">
        <v>208</v>
      </c>
      <c r="C9" s="7" t="s">
        <v>313</v>
      </c>
      <c r="D9" s="13">
        <v>0.116203373710192</v>
      </c>
      <c r="E9" s="13" t="s">
        <v>314</v>
      </c>
      <c r="F9" s="13" t="s">
        <v>314</v>
      </c>
      <c r="G9" s="13" t="s">
        <v>314</v>
      </c>
      <c r="H9" s="13">
        <v>0.116203373710192</v>
      </c>
      <c r="I9" s="13">
        <v>0</v>
      </c>
      <c r="J9" s="13">
        <v>0</v>
      </c>
    </row>
    <row r="10" spans="1:10">
      <c r="A10" s="6" t="s">
        <v>217</v>
      </c>
      <c r="B10" s="7" t="s">
        <v>208</v>
      </c>
      <c r="C10" s="7" t="s">
        <v>313</v>
      </c>
      <c r="D10" s="13">
        <v>0.18247123569139501</v>
      </c>
      <c r="E10" s="13" t="s">
        <v>314</v>
      </c>
      <c r="F10" s="13" t="s">
        <v>314</v>
      </c>
      <c r="G10" s="13" t="s">
        <v>314</v>
      </c>
      <c r="H10" s="13">
        <v>0.18247123569139501</v>
      </c>
      <c r="I10" s="13">
        <v>0</v>
      </c>
      <c r="J10" s="13">
        <v>0</v>
      </c>
    </row>
    <row r="11" spans="1:10">
      <c r="A11" s="6" t="s">
        <v>218</v>
      </c>
      <c r="B11" s="7" t="s">
        <v>208</v>
      </c>
      <c r="C11" s="7" t="s">
        <v>313</v>
      </c>
      <c r="D11" s="13">
        <v>0.26849571597838301</v>
      </c>
      <c r="E11" s="13" t="s">
        <v>314</v>
      </c>
      <c r="F11" s="13" t="s">
        <v>314</v>
      </c>
      <c r="G11" s="13" t="s">
        <v>314</v>
      </c>
      <c r="H11" s="13">
        <v>0.26849571597838301</v>
      </c>
      <c r="I11" s="13">
        <v>0</v>
      </c>
      <c r="J11" s="13">
        <v>0</v>
      </c>
    </row>
    <row r="12" spans="1:10">
      <c r="A12" s="6" t="s">
        <v>219</v>
      </c>
      <c r="B12" s="7" t="s">
        <v>208</v>
      </c>
      <c r="C12" s="7" t="s">
        <v>313</v>
      </c>
      <c r="D12" s="13">
        <v>8.5403947628915303E-2</v>
      </c>
      <c r="E12" s="13" t="s">
        <v>314</v>
      </c>
      <c r="F12" s="13" t="s">
        <v>314</v>
      </c>
      <c r="G12" s="13" t="s">
        <v>314</v>
      </c>
      <c r="H12" s="13">
        <v>8.5403947628915303E-2</v>
      </c>
      <c r="I12" s="13">
        <v>0</v>
      </c>
      <c r="J12" s="13">
        <v>0</v>
      </c>
    </row>
    <row r="13" spans="1:10">
      <c r="A13" s="6" t="s">
        <v>220</v>
      </c>
      <c r="B13" s="7" t="s">
        <v>208</v>
      </c>
      <c r="C13" s="7" t="s">
        <v>313</v>
      </c>
      <c r="D13" s="13">
        <v>0.175347072814862</v>
      </c>
      <c r="E13" s="13" t="s">
        <v>314</v>
      </c>
      <c r="F13" s="13" t="s">
        <v>314</v>
      </c>
      <c r="G13" s="13" t="s">
        <v>314</v>
      </c>
      <c r="H13" s="13">
        <v>0.175347072814862</v>
      </c>
      <c r="I13" s="13">
        <v>0</v>
      </c>
      <c r="J13" s="13">
        <v>0</v>
      </c>
    </row>
    <row r="14" spans="1:10">
      <c r="A14" s="6" t="s">
        <v>221</v>
      </c>
      <c r="B14" s="7" t="s">
        <v>208</v>
      </c>
      <c r="C14" s="7" t="s">
        <v>313</v>
      </c>
      <c r="D14" s="13">
        <v>0.19805364112934601</v>
      </c>
      <c r="E14" s="13" t="s">
        <v>314</v>
      </c>
      <c r="F14" s="13" t="s">
        <v>314</v>
      </c>
      <c r="G14" s="13" t="s">
        <v>314</v>
      </c>
      <c r="H14" s="13">
        <v>0.19805364112934601</v>
      </c>
      <c r="I14" s="13">
        <v>0</v>
      </c>
      <c r="J14" s="13">
        <v>0</v>
      </c>
    </row>
    <row r="15" spans="1:10">
      <c r="A15" s="6" t="s">
        <v>223</v>
      </c>
      <c r="B15" s="7" t="s">
        <v>208</v>
      </c>
      <c r="C15" s="7" t="s">
        <v>313</v>
      </c>
      <c r="D15" s="13">
        <v>0.15536718288441601</v>
      </c>
      <c r="E15" s="13" t="s">
        <v>314</v>
      </c>
      <c r="F15" s="13" t="s">
        <v>314</v>
      </c>
      <c r="G15" s="13" t="s">
        <v>314</v>
      </c>
      <c r="H15" s="13">
        <v>0.15536718288441601</v>
      </c>
      <c r="I15" s="13">
        <v>0</v>
      </c>
      <c r="J15" s="13">
        <v>0</v>
      </c>
    </row>
    <row r="16" spans="1:10">
      <c r="A16" s="6" t="s">
        <v>224</v>
      </c>
      <c r="B16" s="7" t="s">
        <v>208</v>
      </c>
      <c r="C16" s="7" t="s">
        <v>313</v>
      </c>
      <c r="D16" s="13">
        <v>0.18422964650607099</v>
      </c>
      <c r="E16" s="13" t="s">
        <v>314</v>
      </c>
      <c r="F16" s="13" t="s">
        <v>314</v>
      </c>
      <c r="G16" s="13" t="s">
        <v>314</v>
      </c>
      <c r="H16" s="13">
        <v>0.18422964650607099</v>
      </c>
      <c r="I16" s="13">
        <v>0</v>
      </c>
      <c r="J16" s="13">
        <v>0</v>
      </c>
    </row>
    <row r="17" spans="1:10">
      <c r="A17" s="6" t="s">
        <v>226</v>
      </c>
      <c r="B17" s="7" t="s">
        <v>208</v>
      </c>
      <c r="C17" s="7" t="s">
        <v>313</v>
      </c>
      <c r="D17" s="13">
        <v>0.15520541943038299</v>
      </c>
      <c r="E17" s="13" t="s">
        <v>314</v>
      </c>
      <c r="F17" s="13" t="s">
        <v>314</v>
      </c>
      <c r="G17" s="13" t="s">
        <v>314</v>
      </c>
      <c r="H17" s="13">
        <v>0.15520541943038299</v>
      </c>
      <c r="I17" s="13">
        <v>0</v>
      </c>
      <c r="J17" s="13">
        <v>0</v>
      </c>
    </row>
    <row r="18" spans="1:10">
      <c r="A18" s="6" t="s">
        <v>228</v>
      </c>
      <c r="B18" s="7" t="s">
        <v>208</v>
      </c>
      <c r="C18" s="7" t="s">
        <v>313</v>
      </c>
      <c r="D18" s="13">
        <v>0.24877341410367701</v>
      </c>
      <c r="E18" s="13" t="s">
        <v>314</v>
      </c>
      <c r="F18" s="13" t="s">
        <v>314</v>
      </c>
      <c r="G18" s="13" t="s">
        <v>314</v>
      </c>
      <c r="H18" s="13">
        <v>0.24877341410367701</v>
      </c>
      <c r="I18" s="13">
        <v>0</v>
      </c>
      <c r="J18" s="13">
        <v>0</v>
      </c>
    </row>
  </sheetData>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4193C-21E3-4213-B2A9-EB79DA823DB2}">
  <sheetPr codeName="Sheet13"/>
  <dimension ref="A1:J58"/>
  <sheetViews>
    <sheetView workbookViewId="0"/>
  </sheetViews>
  <sheetFormatPr defaultColWidth="8.85546875" defaultRowHeight="15"/>
  <cols>
    <col min="1" max="2" width="15.42578125" customWidth="1"/>
    <col min="3" max="3" width="28.42578125" customWidth="1"/>
    <col min="4" max="10" width="15.42578125" customWidth="1"/>
  </cols>
  <sheetData>
    <row r="1" spans="1:10" ht="32.1">
      <c r="A1" s="11" t="s">
        <v>197</v>
      </c>
      <c r="B1" s="4" t="s">
        <v>198</v>
      </c>
      <c r="C1" s="4" t="s">
        <v>199</v>
      </c>
      <c r="D1" s="5" t="s">
        <v>200</v>
      </c>
      <c r="E1" s="5" t="s">
        <v>201</v>
      </c>
      <c r="F1" s="5" t="s">
        <v>202</v>
      </c>
      <c r="G1" s="5" t="s">
        <v>203</v>
      </c>
      <c r="H1" s="5" t="s">
        <v>204</v>
      </c>
      <c r="I1" s="5" t="s">
        <v>205</v>
      </c>
      <c r="J1" s="5" t="s">
        <v>206</v>
      </c>
    </row>
    <row r="2" spans="1:10">
      <c r="A2" s="6" t="s">
        <v>207</v>
      </c>
      <c r="B2" s="7" t="s">
        <v>208</v>
      </c>
      <c r="C2" s="7" t="s">
        <v>315</v>
      </c>
      <c r="D2" s="13">
        <v>0.84563059045562805</v>
      </c>
      <c r="E2" s="13" t="s">
        <v>314</v>
      </c>
      <c r="F2" s="13" t="s">
        <v>314</v>
      </c>
      <c r="G2" s="13" t="s">
        <v>314</v>
      </c>
      <c r="H2" s="13">
        <v>0.84563059045562805</v>
      </c>
      <c r="I2" s="13">
        <v>0</v>
      </c>
      <c r="J2" s="13">
        <v>0</v>
      </c>
    </row>
    <row r="3" spans="1:10">
      <c r="A3" s="6" t="s">
        <v>210</v>
      </c>
      <c r="B3" s="7" t="s">
        <v>208</v>
      </c>
      <c r="C3" s="7" t="s">
        <v>315</v>
      </c>
      <c r="D3" s="13">
        <v>0.79853341257566002</v>
      </c>
      <c r="E3" s="13" t="s">
        <v>314</v>
      </c>
      <c r="F3" s="13" t="s">
        <v>314</v>
      </c>
      <c r="G3" s="13" t="s">
        <v>314</v>
      </c>
      <c r="H3" s="13">
        <v>0.79853341257566002</v>
      </c>
      <c r="I3" s="13">
        <v>0</v>
      </c>
      <c r="J3" s="13">
        <v>0</v>
      </c>
    </row>
    <row r="4" spans="1:10">
      <c r="A4" s="6" t="s">
        <v>211</v>
      </c>
      <c r="B4" s="7" t="s">
        <v>208</v>
      </c>
      <c r="C4" s="7" t="s">
        <v>315</v>
      </c>
      <c r="D4" s="13">
        <v>0.86552926726510604</v>
      </c>
      <c r="E4" s="13" t="s">
        <v>314</v>
      </c>
      <c r="F4" s="13" t="s">
        <v>314</v>
      </c>
      <c r="G4" s="13" t="s">
        <v>314</v>
      </c>
      <c r="H4" s="13">
        <v>0.86552926726510604</v>
      </c>
      <c r="I4" s="13">
        <v>0</v>
      </c>
      <c r="J4" s="13">
        <v>0</v>
      </c>
    </row>
    <row r="5" spans="1:10">
      <c r="A5" s="6" t="s">
        <v>212</v>
      </c>
      <c r="B5" s="7" t="s">
        <v>208</v>
      </c>
      <c r="C5" s="7" t="s">
        <v>315</v>
      </c>
      <c r="D5" s="13">
        <v>0.82761772835216796</v>
      </c>
      <c r="E5" s="13" t="s">
        <v>314</v>
      </c>
      <c r="F5" s="13" t="s">
        <v>314</v>
      </c>
      <c r="G5" s="13" t="s">
        <v>314</v>
      </c>
      <c r="H5" s="13">
        <v>0.82761772835216796</v>
      </c>
      <c r="I5" s="13">
        <v>0</v>
      </c>
      <c r="J5" s="13">
        <v>0</v>
      </c>
    </row>
    <row r="6" spans="1:10">
      <c r="A6" s="6" t="s">
        <v>213</v>
      </c>
      <c r="B6" s="7" t="s">
        <v>208</v>
      </c>
      <c r="C6" s="7" t="s">
        <v>315</v>
      </c>
      <c r="D6" s="13">
        <v>0.82761772835216796</v>
      </c>
      <c r="E6" s="13" t="s">
        <v>314</v>
      </c>
      <c r="F6" s="13" t="s">
        <v>314</v>
      </c>
      <c r="G6" s="13" t="s">
        <v>314</v>
      </c>
      <c r="H6" s="13">
        <v>0.82761772835216796</v>
      </c>
      <c r="I6" s="13">
        <v>0</v>
      </c>
      <c r="J6" s="13">
        <v>0</v>
      </c>
    </row>
    <row r="7" spans="1:10">
      <c r="A7" s="6" t="s">
        <v>214</v>
      </c>
      <c r="B7" s="7" t="s">
        <v>208</v>
      </c>
      <c r="C7" s="7" t="s">
        <v>315</v>
      </c>
      <c r="D7" s="13">
        <v>0.85238510783690102</v>
      </c>
      <c r="E7" s="13" t="s">
        <v>314</v>
      </c>
      <c r="F7" s="13" t="s">
        <v>314</v>
      </c>
      <c r="G7" s="13" t="s">
        <v>314</v>
      </c>
      <c r="H7" s="13">
        <v>0.85238510783690102</v>
      </c>
      <c r="I7" s="13">
        <v>0</v>
      </c>
      <c r="J7" s="13">
        <v>0</v>
      </c>
    </row>
    <row r="8" spans="1:10">
      <c r="A8" s="6" t="s">
        <v>215</v>
      </c>
      <c r="B8" s="7" t="s">
        <v>208</v>
      </c>
      <c r="C8" s="7" t="s">
        <v>315</v>
      </c>
      <c r="D8" s="13">
        <v>0.83772399748774895</v>
      </c>
      <c r="E8" s="13" t="s">
        <v>314</v>
      </c>
      <c r="F8" s="13" t="s">
        <v>314</v>
      </c>
      <c r="G8" s="13" t="s">
        <v>314</v>
      </c>
      <c r="H8" s="13">
        <v>0.83772399748774895</v>
      </c>
      <c r="I8" s="13">
        <v>0</v>
      </c>
      <c r="J8" s="13">
        <v>0</v>
      </c>
    </row>
    <row r="9" spans="1:10">
      <c r="A9" s="6" t="s">
        <v>216</v>
      </c>
      <c r="B9" s="7" t="s">
        <v>208</v>
      </c>
      <c r="C9" s="7" t="s">
        <v>315</v>
      </c>
      <c r="D9" s="13">
        <v>0.822993632590312</v>
      </c>
      <c r="E9" s="13" t="s">
        <v>314</v>
      </c>
      <c r="F9" s="13" t="s">
        <v>314</v>
      </c>
      <c r="G9" s="13" t="s">
        <v>314</v>
      </c>
      <c r="H9" s="13">
        <v>0.822993632590312</v>
      </c>
      <c r="I9" s="13">
        <v>0</v>
      </c>
      <c r="J9" s="13">
        <v>0</v>
      </c>
    </row>
    <row r="10" spans="1:10">
      <c r="A10" s="6" t="s">
        <v>217</v>
      </c>
      <c r="B10" s="7" t="s">
        <v>208</v>
      </c>
      <c r="C10" s="7" t="s">
        <v>315</v>
      </c>
      <c r="D10" s="13">
        <v>0.88393635036396301</v>
      </c>
      <c r="E10" s="13" t="s">
        <v>314</v>
      </c>
      <c r="F10" s="13" t="s">
        <v>314</v>
      </c>
      <c r="G10" s="13" t="s">
        <v>314</v>
      </c>
      <c r="H10" s="13">
        <v>0.88393635036396301</v>
      </c>
      <c r="I10" s="13">
        <v>0</v>
      </c>
      <c r="J10" s="13">
        <v>0</v>
      </c>
    </row>
    <row r="11" spans="1:10">
      <c r="A11" s="6" t="s">
        <v>218</v>
      </c>
      <c r="B11" s="7" t="s">
        <v>208</v>
      </c>
      <c r="C11" s="7" t="s">
        <v>315</v>
      </c>
      <c r="D11" s="13">
        <v>1</v>
      </c>
      <c r="E11" s="13" t="s">
        <v>314</v>
      </c>
      <c r="F11" s="13" t="s">
        <v>314</v>
      </c>
      <c r="G11" s="13" t="s">
        <v>314</v>
      </c>
      <c r="H11" s="13">
        <v>1</v>
      </c>
      <c r="I11" s="13">
        <v>0</v>
      </c>
      <c r="J11" s="13">
        <v>0</v>
      </c>
    </row>
    <row r="12" spans="1:10">
      <c r="A12" s="6" t="s">
        <v>219</v>
      </c>
      <c r="B12" s="7" t="s">
        <v>208</v>
      </c>
      <c r="C12" s="7" t="s">
        <v>315</v>
      </c>
      <c r="D12" s="13">
        <v>0.81776839843446103</v>
      </c>
      <c r="E12" s="13" t="s">
        <v>314</v>
      </c>
      <c r="F12" s="13" t="s">
        <v>314</v>
      </c>
      <c r="G12" s="13" t="s">
        <v>314</v>
      </c>
      <c r="H12" s="13">
        <v>0.81776839843446103</v>
      </c>
      <c r="I12" s="13">
        <v>0</v>
      </c>
      <c r="J12" s="13">
        <v>0</v>
      </c>
    </row>
    <row r="13" spans="1:10">
      <c r="A13" s="6" t="s">
        <v>220</v>
      </c>
      <c r="B13" s="7" t="s">
        <v>208</v>
      </c>
      <c r="C13" s="7" t="s">
        <v>315</v>
      </c>
      <c r="D13" s="13">
        <v>0.86099786026060598</v>
      </c>
      <c r="E13" s="13" t="s">
        <v>314</v>
      </c>
      <c r="F13" s="13" t="s">
        <v>314</v>
      </c>
      <c r="G13" s="13" t="s">
        <v>314</v>
      </c>
      <c r="H13" s="13">
        <v>0.86099786026060598</v>
      </c>
      <c r="I13" s="13">
        <v>0</v>
      </c>
      <c r="J13" s="13">
        <v>0</v>
      </c>
    </row>
    <row r="14" spans="1:10">
      <c r="A14" s="6" t="s">
        <v>221</v>
      </c>
      <c r="B14" s="7" t="s">
        <v>208</v>
      </c>
      <c r="C14" s="7" t="s">
        <v>315</v>
      </c>
      <c r="D14" s="13">
        <v>0.81007305047593303</v>
      </c>
      <c r="E14" s="13" t="s">
        <v>314</v>
      </c>
      <c r="F14" s="13" t="s">
        <v>314</v>
      </c>
      <c r="G14" s="13" t="s">
        <v>314</v>
      </c>
      <c r="H14" s="13">
        <v>0.81007305047593303</v>
      </c>
      <c r="I14" s="13">
        <v>0</v>
      </c>
      <c r="J14" s="13">
        <v>0</v>
      </c>
    </row>
    <row r="15" spans="1:10">
      <c r="A15" s="6" t="s">
        <v>223</v>
      </c>
      <c r="B15" s="7" t="s">
        <v>208</v>
      </c>
      <c r="C15" s="7" t="s">
        <v>315</v>
      </c>
      <c r="D15" s="13">
        <v>0.842084754871259</v>
      </c>
      <c r="E15" s="13" t="s">
        <v>314</v>
      </c>
      <c r="F15" s="13" t="s">
        <v>314</v>
      </c>
      <c r="G15" s="13" t="s">
        <v>314</v>
      </c>
      <c r="H15" s="13">
        <v>0.842084754871259</v>
      </c>
      <c r="I15" s="13">
        <v>0</v>
      </c>
      <c r="J15" s="13">
        <v>0</v>
      </c>
    </row>
    <row r="16" spans="1:10">
      <c r="A16" s="6" t="s">
        <v>224</v>
      </c>
      <c r="B16" s="7" t="s">
        <v>208</v>
      </c>
      <c r="C16" s="7" t="s">
        <v>315</v>
      </c>
      <c r="D16" s="13">
        <v>0.89380105166034596</v>
      </c>
      <c r="E16" s="13" t="s">
        <v>314</v>
      </c>
      <c r="F16" s="13" t="s">
        <v>314</v>
      </c>
      <c r="G16" s="13" t="s">
        <v>314</v>
      </c>
      <c r="H16" s="13">
        <v>0.89380105166034596</v>
      </c>
      <c r="I16" s="13">
        <v>0</v>
      </c>
      <c r="J16" s="13">
        <v>0</v>
      </c>
    </row>
    <row r="17" spans="1:10">
      <c r="A17" s="6" t="s">
        <v>226</v>
      </c>
      <c r="B17" s="7" t="s">
        <v>208</v>
      </c>
      <c r="C17" s="7" t="s">
        <v>315</v>
      </c>
      <c r="D17" s="13">
        <v>0.98331805782898496</v>
      </c>
      <c r="E17" s="13" t="s">
        <v>314</v>
      </c>
      <c r="F17" s="13" t="s">
        <v>314</v>
      </c>
      <c r="G17" s="13" t="s">
        <v>314</v>
      </c>
      <c r="H17" s="13">
        <v>0.98331805782898496</v>
      </c>
      <c r="I17" s="13">
        <v>0</v>
      </c>
      <c r="J17" s="13">
        <v>0</v>
      </c>
    </row>
    <row r="18" spans="1:10">
      <c r="A18" s="6" t="s">
        <v>228</v>
      </c>
      <c r="B18" s="7" t="s">
        <v>208</v>
      </c>
      <c r="C18" s="7" t="s">
        <v>315</v>
      </c>
      <c r="D18" s="13">
        <v>0.94722377413625403</v>
      </c>
      <c r="E18" s="13" t="s">
        <v>314</v>
      </c>
      <c r="F18" s="13" t="s">
        <v>314</v>
      </c>
      <c r="G18" s="13" t="s">
        <v>314</v>
      </c>
      <c r="H18" s="13">
        <v>0.94722377413625403</v>
      </c>
      <c r="I18" s="13">
        <v>0</v>
      </c>
      <c r="J18" s="13">
        <v>0</v>
      </c>
    </row>
    <row r="22" spans="1:10" ht="32.1">
      <c r="A22" s="11" t="s">
        <v>197</v>
      </c>
      <c r="B22" s="4" t="s">
        <v>198</v>
      </c>
      <c r="C22" s="4" t="s">
        <v>199</v>
      </c>
      <c r="D22" s="5" t="s">
        <v>200</v>
      </c>
      <c r="E22" s="5" t="s">
        <v>201</v>
      </c>
      <c r="F22" s="5" t="s">
        <v>202</v>
      </c>
      <c r="G22" s="5" t="s">
        <v>203</v>
      </c>
      <c r="H22" s="5" t="s">
        <v>204</v>
      </c>
      <c r="I22" s="5" t="s">
        <v>205</v>
      </c>
      <c r="J22" s="5" t="s">
        <v>206</v>
      </c>
    </row>
    <row r="23" spans="1:10">
      <c r="A23" s="6" t="s">
        <v>207</v>
      </c>
      <c r="B23" s="7" t="s">
        <v>208</v>
      </c>
      <c r="C23" s="7" t="s">
        <v>316</v>
      </c>
      <c r="D23" s="13">
        <v>5.9735148462676302E-2</v>
      </c>
      <c r="E23" s="13" t="s">
        <v>314</v>
      </c>
      <c r="F23" s="13" t="s">
        <v>314</v>
      </c>
      <c r="G23" s="13" t="s">
        <v>314</v>
      </c>
      <c r="H23" s="13">
        <v>5.9735148462676302E-2</v>
      </c>
      <c r="I23" s="13">
        <v>0</v>
      </c>
      <c r="J23" s="13">
        <v>0</v>
      </c>
    </row>
    <row r="24" spans="1:10">
      <c r="A24" s="6" t="s">
        <v>210</v>
      </c>
      <c r="B24" s="7" t="s">
        <v>208</v>
      </c>
      <c r="C24" s="7" t="s">
        <v>316</v>
      </c>
      <c r="D24" s="13">
        <v>2.6408902729295001E-2</v>
      </c>
      <c r="E24" s="13" t="s">
        <v>314</v>
      </c>
      <c r="F24" s="13" t="s">
        <v>314</v>
      </c>
      <c r="G24" s="13" t="s">
        <v>314</v>
      </c>
      <c r="H24" s="13">
        <v>2.6408902729295001E-2</v>
      </c>
      <c r="I24" s="13">
        <v>0</v>
      </c>
      <c r="J24" s="13">
        <v>0</v>
      </c>
    </row>
    <row r="25" spans="1:10">
      <c r="A25" s="6" t="s">
        <v>211</v>
      </c>
      <c r="B25" s="7" t="s">
        <v>208</v>
      </c>
      <c r="C25" s="7" t="s">
        <v>316</v>
      </c>
      <c r="D25" s="13">
        <v>3.2667560068236998E-2</v>
      </c>
      <c r="E25" s="13" t="s">
        <v>314</v>
      </c>
      <c r="F25" s="13" t="s">
        <v>314</v>
      </c>
      <c r="G25" s="13" t="s">
        <v>314</v>
      </c>
      <c r="H25" s="13">
        <v>3.2667560068236998E-2</v>
      </c>
      <c r="I25" s="13">
        <v>0</v>
      </c>
      <c r="J25" s="13">
        <v>0</v>
      </c>
    </row>
    <row r="26" spans="1:10">
      <c r="A26" s="6" t="s">
        <v>212</v>
      </c>
      <c r="B26" s="7" t="s">
        <v>208</v>
      </c>
      <c r="C26" s="7" t="s">
        <v>316</v>
      </c>
      <c r="D26" s="13">
        <v>9.271867508626E-2</v>
      </c>
      <c r="E26" s="13" t="s">
        <v>314</v>
      </c>
      <c r="F26" s="13" t="s">
        <v>314</v>
      </c>
      <c r="G26" s="13" t="s">
        <v>314</v>
      </c>
      <c r="H26" s="13">
        <v>9.271867508626E-2</v>
      </c>
      <c r="I26" s="13">
        <v>0</v>
      </c>
      <c r="J26" s="13">
        <v>0</v>
      </c>
    </row>
    <row r="27" spans="1:10">
      <c r="A27" s="6" t="s">
        <v>213</v>
      </c>
      <c r="B27" s="7" t="s">
        <v>208</v>
      </c>
      <c r="C27" s="7" t="s">
        <v>316</v>
      </c>
      <c r="D27" s="13">
        <v>9.271867508626E-2</v>
      </c>
      <c r="E27" s="13" t="s">
        <v>314</v>
      </c>
      <c r="F27" s="13" t="s">
        <v>314</v>
      </c>
      <c r="G27" s="13" t="s">
        <v>314</v>
      </c>
      <c r="H27" s="13">
        <v>9.271867508626E-2</v>
      </c>
      <c r="I27" s="13">
        <v>0</v>
      </c>
      <c r="J27" s="13">
        <v>0</v>
      </c>
    </row>
    <row r="28" spans="1:10">
      <c r="A28" s="6" t="s">
        <v>214</v>
      </c>
      <c r="B28" s="7" t="s">
        <v>208</v>
      </c>
      <c r="C28" s="7" t="s">
        <v>316</v>
      </c>
      <c r="D28" s="13">
        <v>0.127723058991211</v>
      </c>
      <c r="E28" s="13" t="s">
        <v>314</v>
      </c>
      <c r="F28" s="13" t="s">
        <v>314</v>
      </c>
      <c r="G28" s="13" t="s">
        <v>314</v>
      </c>
      <c r="H28" s="13">
        <v>0.127723058991211</v>
      </c>
      <c r="I28" s="13">
        <v>0</v>
      </c>
      <c r="J28" s="13">
        <v>0</v>
      </c>
    </row>
    <row r="29" spans="1:10">
      <c r="A29" s="6" t="s">
        <v>215</v>
      </c>
      <c r="B29" s="7" t="s">
        <v>208</v>
      </c>
      <c r="C29" s="7" t="s">
        <v>316</v>
      </c>
      <c r="D29" s="13">
        <v>4.87420444037647E-2</v>
      </c>
      <c r="E29" s="13" t="s">
        <v>314</v>
      </c>
      <c r="F29" s="13" t="s">
        <v>314</v>
      </c>
      <c r="G29" s="13" t="s">
        <v>314</v>
      </c>
      <c r="H29" s="13">
        <v>4.87420444037647E-2</v>
      </c>
      <c r="I29" s="13">
        <v>0</v>
      </c>
      <c r="J29" s="13">
        <v>0</v>
      </c>
    </row>
    <row r="30" spans="1:10">
      <c r="A30" s="6" t="s">
        <v>216</v>
      </c>
      <c r="B30" s="7" t="s">
        <v>208</v>
      </c>
      <c r="C30" s="7" t="s">
        <v>316</v>
      </c>
      <c r="D30" s="13">
        <v>6.8151284483621496E-2</v>
      </c>
      <c r="E30" s="13" t="s">
        <v>314</v>
      </c>
      <c r="F30" s="13" t="s">
        <v>314</v>
      </c>
      <c r="G30" s="13" t="s">
        <v>314</v>
      </c>
      <c r="H30" s="13">
        <v>6.8151284483621496E-2</v>
      </c>
      <c r="I30" s="13">
        <v>0</v>
      </c>
      <c r="J30" s="13">
        <v>0</v>
      </c>
    </row>
    <row r="31" spans="1:10">
      <c r="A31" s="6" t="s">
        <v>217</v>
      </c>
      <c r="B31" s="7" t="s">
        <v>208</v>
      </c>
      <c r="C31" s="7" t="s">
        <v>316</v>
      </c>
      <c r="D31" s="13">
        <v>7.5522799977040395E-2</v>
      </c>
      <c r="E31" s="13" t="s">
        <v>314</v>
      </c>
      <c r="F31" s="13" t="s">
        <v>314</v>
      </c>
      <c r="G31" s="13" t="s">
        <v>314</v>
      </c>
      <c r="H31" s="13">
        <v>7.5522799977040395E-2</v>
      </c>
      <c r="I31" s="13">
        <v>0</v>
      </c>
      <c r="J31" s="13">
        <v>0</v>
      </c>
    </row>
    <row r="32" spans="1:10">
      <c r="A32" s="6" t="s">
        <v>218</v>
      </c>
      <c r="B32" s="7" t="s">
        <v>208</v>
      </c>
      <c r="C32" s="7" t="s">
        <v>316</v>
      </c>
      <c r="D32" s="13">
        <v>0.111546545787488</v>
      </c>
      <c r="E32" s="13" t="s">
        <v>314</v>
      </c>
      <c r="F32" s="13" t="s">
        <v>314</v>
      </c>
      <c r="G32" s="13" t="s">
        <v>314</v>
      </c>
      <c r="H32" s="13">
        <v>0.111546545787488</v>
      </c>
      <c r="I32" s="13">
        <v>0</v>
      </c>
      <c r="J32" s="13">
        <v>0</v>
      </c>
    </row>
    <row r="33" spans="1:10">
      <c r="A33" s="6" t="s">
        <v>219</v>
      </c>
      <c r="B33" s="7" t="s">
        <v>208</v>
      </c>
      <c r="C33" s="7" t="s">
        <v>316</v>
      </c>
      <c r="D33" s="13">
        <v>4.86346609673367E-2</v>
      </c>
      <c r="E33" s="13" t="s">
        <v>314</v>
      </c>
      <c r="F33" s="13" t="s">
        <v>314</v>
      </c>
      <c r="G33" s="13" t="s">
        <v>314</v>
      </c>
      <c r="H33" s="13">
        <v>4.86346609673367E-2</v>
      </c>
      <c r="I33" s="13">
        <v>0</v>
      </c>
      <c r="J33" s="13">
        <v>0</v>
      </c>
    </row>
    <row r="34" spans="1:10">
      <c r="A34" s="6" t="s">
        <v>220</v>
      </c>
      <c r="B34" s="7" t="s">
        <v>208</v>
      </c>
      <c r="C34" s="7" t="s">
        <v>316</v>
      </c>
      <c r="D34" s="13">
        <v>4.1049525742992699E-2</v>
      </c>
      <c r="E34" s="13" t="s">
        <v>314</v>
      </c>
      <c r="F34" s="13" t="s">
        <v>314</v>
      </c>
      <c r="G34" s="13" t="s">
        <v>314</v>
      </c>
      <c r="H34" s="13">
        <v>4.1049525742992699E-2</v>
      </c>
      <c r="I34" s="13">
        <v>0</v>
      </c>
      <c r="J34" s="13">
        <v>0</v>
      </c>
    </row>
    <row r="35" spans="1:10">
      <c r="A35" s="6" t="s">
        <v>221</v>
      </c>
      <c r="B35" s="7" t="s">
        <v>208</v>
      </c>
      <c r="C35" s="7" t="s">
        <v>316</v>
      </c>
      <c r="D35" s="13">
        <v>6.6648231274529707E-2</v>
      </c>
      <c r="E35" s="13" t="s">
        <v>314</v>
      </c>
      <c r="F35" s="13" t="s">
        <v>314</v>
      </c>
      <c r="G35" s="13" t="s">
        <v>314</v>
      </c>
      <c r="H35" s="13">
        <v>6.6648231274529707E-2</v>
      </c>
      <c r="I35" s="13">
        <v>0</v>
      </c>
      <c r="J35" s="13">
        <v>0</v>
      </c>
    </row>
    <row r="36" spans="1:10">
      <c r="A36" s="6" t="s">
        <v>223</v>
      </c>
      <c r="B36" s="7" t="s">
        <v>208</v>
      </c>
      <c r="C36" s="7" t="s">
        <v>316</v>
      </c>
      <c r="D36" s="13">
        <v>5.96015838255117E-2</v>
      </c>
      <c r="E36" s="13" t="s">
        <v>314</v>
      </c>
      <c r="F36" s="13" t="s">
        <v>314</v>
      </c>
      <c r="G36" s="13" t="s">
        <v>314</v>
      </c>
      <c r="H36" s="13">
        <v>5.96015838255117E-2</v>
      </c>
      <c r="I36" s="13">
        <v>0</v>
      </c>
      <c r="J36" s="13">
        <v>0</v>
      </c>
    </row>
    <row r="37" spans="1:10">
      <c r="A37" s="6" t="s">
        <v>224</v>
      </c>
      <c r="B37" s="7" t="s">
        <v>208</v>
      </c>
      <c r="C37" s="7" t="s">
        <v>316</v>
      </c>
      <c r="D37" s="13">
        <v>4.5894929134666397E-2</v>
      </c>
      <c r="E37" s="13" t="s">
        <v>314</v>
      </c>
      <c r="F37" s="13" t="s">
        <v>314</v>
      </c>
      <c r="G37" s="13" t="s">
        <v>314</v>
      </c>
      <c r="H37" s="13">
        <v>4.5894929134666397E-2</v>
      </c>
      <c r="I37" s="13">
        <v>0</v>
      </c>
      <c r="J37" s="13">
        <v>0</v>
      </c>
    </row>
    <row r="38" spans="1:10">
      <c r="A38" s="6" t="s">
        <v>226</v>
      </c>
      <c r="B38" s="7" t="s">
        <v>208</v>
      </c>
      <c r="C38" s="7" t="s">
        <v>316</v>
      </c>
      <c r="D38" s="13">
        <v>7.9669923677834806E-2</v>
      </c>
      <c r="E38" s="13" t="s">
        <v>314</v>
      </c>
      <c r="F38" s="13" t="s">
        <v>314</v>
      </c>
      <c r="G38" s="13" t="s">
        <v>314</v>
      </c>
      <c r="H38" s="13">
        <v>7.9669923677834806E-2</v>
      </c>
      <c r="I38" s="13">
        <v>0</v>
      </c>
      <c r="J38" s="13">
        <v>0</v>
      </c>
    </row>
    <row r="39" spans="1:10">
      <c r="A39" s="6" t="s">
        <v>228</v>
      </c>
      <c r="B39" s="7" t="s">
        <v>208</v>
      </c>
      <c r="C39" s="7" t="s">
        <v>316</v>
      </c>
      <c r="D39" s="13">
        <v>2.5770434803415801E-2</v>
      </c>
      <c r="E39" s="13" t="s">
        <v>314</v>
      </c>
      <c r="F39" s="13" t="s">
        <v>314</v>
      </c>
      <c r="G39" s="13" t="s">
        <v>314</v>
      </c>
      <c r="H39" s="13">
        <v>2.5770434803415801E-2</v>
      </c>
      <c r="I39" s="13">
        <v>0</v>
      </c>
      <c r="J39" s="13">
        <v>0</v>
      </c>
    </row>
    <row r="41" spans="1:10" ht="32.1">
      <c r="A41" s="11" t="s">
        <v>197</v>
      </c>
      <c r="B41" s="4" t="s">
        <v>198</v>
      </c>
      <c r="C41" s="4" t="s">
        <v>199</v>
      </c>
      <c r="D41" s="5" t="s">
        <v>200</v>
      </c>
      <c r="E41" s="5" t="s">
        <v>201</v>
      </c>
      <c r="F41" s="5" t="s">
        <v>202</v>
      </c>
      <c r="G41" s="5" t="s">
        <v>203</v>
      </c>
      <c r="H41" s="5" t="s">
        <v>204</v>
      </c>
      <c r="I41" s="5" t="s">
        <v>205</v>
      </c>
      <c r="J41" s="5" t="s">
        <v>206</v>
      </c>
    </row>
    <row r="42" spans="1:10">
      <c r="A42" s="6" t="s">
        <v>207</v>
      </c>
      <c r="B42" s="7" t="s">
        <v>208</v>
      </c>
      <c r="C42" s="7" t="s">
        <v>317</v>
      </c>
      <c r="D42" s="13">
        <v>3.2878384668542498E-4</v>
      </c>
      <c r="E42" s="13" t="s">
        <v>314</v>
      </c>
      <c r="F42" s="13" t="s">
        <v>314</v>
      </c>
      <c r="G42" s="13" t="s">
        <v>314</v>
      </c>
      <c r="H42" s="13">
        <v>3.2878384668542498E-4</v>
      </c>
      <c r="I42" s="13">
        <v>0</v>
      </c>
      <c r="J42" s="13">
        <v>0</v>
      </c>
    </row>
    <row r="43" spans="1:10">
      <c r="A43" s="6" t="s">
        <v>210</v>
      </c>
      <c r="B43" s="7" t="s">
        <v>208</v>
      </c>
      <c r="C43" s="7" t="s">
        <v>317</v>
      </c>
      <c r="D43" s="13">
        <v>0</v>
      </c>
      <c r="E43" s="13" t="s">
        <v>314</v>
      </c>
      <c r="F43" s="13" t="s">
        <v>314</v>
      </c>
      <c r="G43" s="13" t="s">
        <v>314</v>
      </c>
      <c r="H43" s="13">
        <v>0</v>
      </c>
      <c r="I43" s="13">
        <v>0</v>
      </c>
      <c r="J43" s="13">
        <v>0</v>
      </c>
    </row>
    <row r="44" spans="1:10">
      <c r="A44" s="6" t="s">
        <v>211</v>
      </c>
      <c r="B44" s="7" t="s">
        <v>208</v>
      </c>
      <c r="C44" s="7" t="s">
        <v>317</v>
      </c>
      <c r="D44" s="13">
        <v>0</v>
      </c>
      <c r="E44" s="13" t="s">
        <v>314</v>
      </c>
      <c r="F44" s="13" t="s">
        <v>314</v>
      </c>
      <c r="G44" s="13" t="s">
        <v>314</v>
      </c>
      <c r="H44" s="13">
        <v>0</v>
      </c>
      <c r="I44" s="13">
        <v>0</v>
      </c>
      <c r="J44" s="13">
        <v>0</v>
      </c>
    </row>
    <row r="45" spans="1:10">
      <c r="A45" s="6" t="s">
        <v>212</v>
      </c>
      <c r="B45" s="7" t="s">
        <v>208</v>
      </c>
      <c r="C45" s="7" t="s">
        <v>317</v>
      </c>
      <c r="D45" s="13">
        <v>0</v>
      </c>
      <c r="E45" s="13" t="s">
        <v>314</v>
      </c>
      <c r="F45" s="13" t="s">
        <v>314</v>
      </c>
      <c r="G45" s="13" t="s">
        <v>314</v>
      </c>
      <c r="H45" s="13">
        <v>0</v>
      </c>
      <c r="I45" s="13">
        <v>0</v>
      </c>
      <c r="J45" s="13">
        <v>0</v>
      </c>
    </row>
    <row r="46" spans="1:10">
      <c r="A46" s="6" t="s">
        <v>213</v>
      </c>
      <c r="B46" s="7" t="s">
        <v>208</v>
      </c>
      <c r="C46" s="7" t="s">
        <v>317</v>
      </c>
      <c r="D46" s="13">
        <v>0</v>
      </c>
      <c r="E46" s="13" t="s">
        <v>314</v>
      </c>
      <c r="F46" s="13" t="s">
        <v>314</v>
      </c>
      <c r="G46" s="13" t="s">
        <v>314</v>
      </c>
      <c r="H46" s="13">
        <v>0</v>
      </c>
      <c r="I46" s="13">
        <v>0</v>
      </c>
      <c r="J46" s="13">
        <v>0</v>
      </c>
    </row>
    <row r="47" spans="1:10">
      <c r="A47" s="6" t="s">
        <v>214</v>
      </c>
      <c r="B47" s="7" t="s">
        <v>208</v>
      </c>
      <c r="C47" s="7" t="s">
        <v>317</v>
      </c>
      <c r="D47" s="13">
        <v>0</v>
      </c>
      <c r="E47" s="13" t="s">
        <v>314</v>
      </c>
      <c r="F47" s="13" t="s">
        <v>314</v>
      </c>
      <c r="G47" s="13" t="s">
        <v>314</v>
      </c>
      <c r="H47" s="13">
        <v>0</v>
      </c>
      <c r="I47" s="13">
        <v>0</v>
      </c>
      <c r="J47" s="13">
        <v>0</v>
      </c>
    </row>
    <row r="48" spans="1:10">
      <c r="A48" s="6" t="s">
        <v>215</v>
      </c>
      <c r="B48" s="7" t="s">
        <v>208</v>
      </c>
      <c r="C48" s="7" t="s">
        <v>317</v>
      </c>
      <c r="D48" s="13">
        <v>4.9760277828106601E-3</v>
      </c>
      <c r="E48" s="13" t="s">
        <v>314</v>
      </c>
      <c r="F48" s="13" t="s">
        <v>314</v>
      </c>
      <c r="G48" s="13" t="s">
        <v>314</v>
      </c>
      <c r="H48" s="13">
        <v>4.9760277828106601E-3</v>
      </c>
      <c r="I48" s="13">
        <v>0</v>
      </c>
      <c r="J48" s="13">
        <v>0</v>
      </c>
    </row>
    <row r="49" spans="1:10">
      <c r="A49" s="6" t="s">
        <v>216</v>
      </c>
      <c r="B49" s="7" t="s">
        <v>208</v>
      </c>
      <c r="C49" s="7" t="s">
        <v>317</v>
      </c>
      <c r="D49" s="13">
        <v>1.41791389890467E-4</v>
      </c>
      <c r="E49" s="13" t="s">
        <v>314</v>
      </c>
      <c r="F49" s="13" t="s">
        <v>314</v>
      </c>
      <c r="G49" s="13" t="s">
        <v>314</v>
      </c>
      <c r="H49" s="13">
        <v>1.41791389890467E-4</v>
      </c>
      <c r="I49" s="13">
        <v>0</v>
      </c>
      <c r="J49" s="13">
        <v>0</v>
      </c>
    </row>
    <row r="50" spans="1:10">
      <c r="A50" s="6" t="s">
        <v>217</v>
      </c>
      <c r="B50" s="7" t="s">
        <v>208</v>
      </c>
      <c r="C50" s="7" t="s">
        <v>317</v>
      </c>
      <c r="D50" s="13">
        <v>1.1345583292417701E-3</v>
      </c>
      <c r="E50" s="13" t="s">
        <v>314</v>
      </c>
      <c r="F50" s="13" t="s">
        <v>314</v>
      </c>
      <c r="G50" s="13" t="s">
        <v>314</v>
      </c>
      <c r="H50" s="13">
        <v>1.1345583292417701E-3</v>
      </c>
      <c r="I50" s="13">
        <v>0</v>
      </c>
      <c r="J50" s="13">
        <v>0</v>
      </c>
    </row>
    <row r="51" spans="1:10">
      <c r="A51" s="6" t="s">
        <v>218</v>
      </c>
      <c r="B51" s="7" t="s">
        <v>208</v>
      </c>
      <c r="C51" s="7" t="s">
        <v>317</v>
      </c>
      <c r="D51" s="13">
        <v>0</v>
      </c>
      <c r="E51" s="13" t="s">
        <v>314</v>
      </c>
      <c r="F51" s="13" t="s">
        <v>314</v>
      </c>
      <c r="G51" s="13" t="s">
        <v>314</v>
      </c>
      <c r="H51" s="13">
        <v>0</v>
      </c>
      <c r="I51" s="13">
        <v>0</v>
      </c>
      <c r="J51" s="13">
        <v>0</v>
      </c>
    </row>
    <row r="52" spans="1:10">
      <c r="A52" s="6" t="s">
        <v>219</v>
      </c>
      <c r="B52" s="7" t="s">
        <v>208</v>
      </c>
      <c r="C52" s="7" t="s">
        <v>317</v>
      </c>
      <c r="D52" s="13">
        <v>0</v>
      </c>
      <c r="E52" s="13" t="s">
        <v>314</v>
      </c>
      <c r="F52" s="13" t="s">
        <v>314</v>
      </c>
      <c r="G52" s="13" t="s">
        <v>314</v>
      </c>
      <c r="H52" s="13">
        <v>0</v>
      </c>
      <c r="I52" s="13">
        <v>0</v>
      </c>
      <c r="J52" s="13">
        <v>0</v>
      </c>
    </row>
    <row r="53" spans="1:10">
      <c r="A53" s="6" t="s">
        <v>220</v>
      </c>
      <c r="B53" s="7" t="s">
        <v>208</v>
      </c>
      <c r="C53" s="7" t="s">
        <v>317</v>
      </c>
      <c r="D53" s="13">
        <v>0</v>
      </c>
      <c r="E53" s="13" t="s">
        <v>314</v>
      </c>
      <c r="F53" s="13" t="s">
        <v>314</v>
      </c>
      <c r="G53" s="13" t="s">
        <v>314</v>
      </c>
      <c r="H53" s="13">
        <v>0</v>
      </c>
      <c r="I53" s="13">
        <v>0</v>
      </c>
      <c r="J53" s="13">
        <v>0</v>
      </c>
    </row>
    <row r="54" spans="1:10">
      <c r="A54" s="6" t="s">
        <v>221</v>
      </c>
      <c r="B54" s="7" t="s">
        <v>208</v>
      </c>
      <c r="C54" s="7" t="s">
        <v>317</v>
      </c>
      <c r="D54" s="13">
        <v>0</v>
      </c>
      <c r="E54" s="13" t="s">
        <v>314</v>
      </c>
      <c r="F54" s="13" t="s">
        <v>314</v>
      </c>
      <c r="G54" s="13" t="s">
        <v>314</v>
      </c>
      <c r="H54" s="13">
        <v>0</v>
      </c>
      <c r="I54" s="13">
        <v>0</v>
      </c>
      <c r="J54" s="13">
        <v>0</v>
      </c>
    </row>
    <row r="55" spans="1:10">
      <c r="A55" s="6" t="s">
        <v>223</v>
      </c>
      <c r="B55" s="7" t="s">
        <v>208</v>
      </c>
      <c r="C55" s="7" t="s">
        <v>317</v>
      </c>
      <c r="D55" s="13">
        <v>0</v>
      </c>
      <c r="E55" s="13" t="s">
        <v>314</v>
      </c>
      <c r="F55" s="13" t="s">
        <v>314</v>
      </c>
      <c r="G55" s="13" t="s">
        <v>314</v>
      </c>
      <c r="H55" s="13">
        <v>0</v>
      </c>
      <c r="I55" s="13">
        <v>0</v>
      </c>
      <c r="J55" s="13">
        <v>0</v>
      </c>
    </row>
    <row r="56" spans="1:10">
      <c r="A56" s="6" t="s">
        <v>224</v>
      </c>
      <c r="B56" s="7" t="s">
        <v>208</v>
      </c>
      <c r="C56" s="7" t="s">
        <v>317</v>
      </c>
      <c r="D56" s="13">
        <v>0</v>
      </c>
      <c r="E56" s="13" t="s">
        <v>314</v>
      </c>
      <c r="F56" s="13" t="s">
        <v>314</v>
      </c>
      <c r="G56" s="13" t="s">
        <v>314</v>
      </c>
      <c r="H56" s="13">
        <v>0</v>
      </c>
      <c r="I56" s="13">
        <v>0</v>
      </c>
      <c r="J56" s="13">
        <v>0</v>
      </c>
    </row>
    <row r="57" spans="1:10">
      <c r="A57" s="6" t="s">
        <v>226</v>
      </c>
      <c r="B57" s="7" t="s">
        <v>208</v>
      </c>
      <c r="C57" s="7" t="s">
        <v>317</v>
      </c>
      <c r="D57" s="13">
        <v>0</v>
      </c>
      <c r="E57" s="13" t="s">
        <v>314</v>
      </c>
      <c r="F57" s="13" t="s">
        <v>314</v>
      </c>
      <c r="G57" s="13" t="s">
        <v>314</v>
      </c>
      <c r="H57" s="13">
        <v>0</v>
      </c>
      <c r="I57" s="13">
        <v>0</v>
      </c>
      <c r="J57" s="13">
        <v>0</v>
      </c>
    </row>
    <row r="58" spans="1:10">
      <c r="A58" s="6" t="s">
        <v>228</v>
      </c>
      <c r="B58" s="7" t="s">
        <v>208</v>
      </c>
      <c r="C58" s="7" t="s">
        <v>317</v>
      </c>
      <c r="D58" s="13">
        <v>0</v>
      </c>
      <c r="E58" s="13" t="s">
        <v>314</v>
      </c>
      <c r="F58" s="13" t="s">
        <v>314</v>
      </c>
      <c r="G58" s="13" t="s">
        <v>314</v>
      </c>
      <c r="H58" s="13">
        <v>0</v>
      </c>
      <c r="I58" s="13">
        <v>0</v>
      </c>
      <c r="J58" s="13">
        <v>0</v>
      </c>
    </row>
  </sheetData>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730C9-5C61-418E-9D38-D82374F9BCB6}">
  <sheetPr codeName="Sheet15">
    <tabColor rgb="FF00B050"/>
  </sheetPr>
  <dimension ref="A1:S23"/>
  <sheetViews>
    <sheetView zoomScale="130" zoomScaleNormal="130" zoomScaleSheetLayoutView="55" workbookViewId="0">
      <selection activeCell="D17" sqref="D17"/>
    </sheetView>
  </sheetViews>
  <sheetFormatPr defaultColWidth="9.42578125" defaultRowHeight="14.1"/>
  <cols>
    <col min="1" max="1" width="20.42578125" style="195" customWidth="1"/>
    <col min="2" max="2" width="34.7109375" style="195" customWidth="1"/>
    <col min="3" max="10" width="20.42578125" style="195" customWidth="1"/>
    <col min="11" max="11" width="30.42578125" style="195" customWidth="1"/>
    <col min="12" max="12" width="13.42578125" style="195" customWidth="1"/>
    <col min="13" max="13" width="20.85546875" style="195" customWidth="1"/>
    <col min="14" max="14" width="20" style="195" customWidth="1"/>
    <col min="15" max="15" width="12.42578125" style="195" customWidth="1"/>
    <col min="16" max="16" width="13.42578125" style="195" customWidth="1"/>
    <col min="17" max="17" width="12.42578125" style="195" customWidth="1"/>
    <col min="18" max="18" width="13.42578125" style="195" customWidth="1"/>
    <col min="19" max="19" width="68.42578125" style="195" customWidth="1"/>
    <col min="20" max="21" width="10.42578125" style="195" customWidth="1"/>
    <col min="22" max="22" width="9.42578125" style="195"/>
    <col min="23" max="27" width="11.42578125" style="195" customWidth="1"/>
    <col min="28" max="16384" width="9.42578125" style="195"/>
  </cols>
  <sheetData>
    <row r="1" spans="1:19" s="3" customFormat="1" ht="15">
      <c r="A1" s="464" t="s">
        <v>2</v>
      </c>
      <c r="B1" s="607"/>
      <c r="C1" s="608"/>
      <c r="D1" s="608"/>
      <c r="E1" s="608"/>
      <c r="F1" s="608"/>
      <c r="G1" s="608"/>
      <c r="H1" s="463"/>
      <c r="I1" s="463"/>
      <c r="J1" s="463"/>
      <c r="K1" s="463"/>
      <c r="L1" s="463"/>
      <c r="M1" s="463"/>
      <c r="N1" s="463"/>
      <c r="O1" s="463"/>
      <c r="P1" s="463"/>
      <c r="Q1" s="463"/>
    </row>
    <row r="3" spans="1:19" ht="17.100000000000001" thickBot="1">
      <c r="A3" s="504" t="str">
        <f>"Outdoor Airflow Rate - "&amp;Prototype!A3</f>
        <v>Outdoor Airflow Rate - Controlled Environment Horticulture</v>
      </c>
      <c r="B3" s="504"/>
      <c r="C3" s="504"/>
      <c r="D3" s="504"/>
      <c r="E3" s="504"/>
      <c r="F3" s="504"/>
      <c r="G3" s="504"/>
      <c r="H3" s="504"/>
      <c r="I3" s="504"/>
      <c r="J3" s="504"/>
      <c r="K3" s="504"/>
      <c r="L3" s="151"/>
      <c r="M3" s="151"/>
      <c r="N3" s="151"/>
      <c r="O3" s="151"/>
      <c r="P3" s="151"/>
      <c r="Q3" s="151"/>
      <c r="R3" s="151"/>
      <c r="S3" s="151"/>
    </row>
    <row r="4" spans="1:19" ht="27.95">
      <c r="A4" s="528" t="s">
        <v>39</v>
      </c>
      <c r="B4" s="472" t="s">
        <v>318</v>
      </c>
      <c r="C4" s="472" t="s">
        <v>319</v>
      </c>
      <c r="D4" s="472" t="s">
        <v>320</v>
      </c>
      <c r="E4" s="530" t="s">
        <v>48</v>
      </c>
      <c r="F4" s="530" t="s">
        <v>321</v>
      </c>
      <c r="G4" s="473" t="s">
        <v>322</v>
      </c>
      <c r="H4" s="474" t="s">
        <v>323</v>
      </c>
      <c r="I4" s="475" t="s">
        <v>324</v>
      </c>
      <c r="J4" s="476" t="s">
        <v>325</v>
      </c>
      <c r="K4" s="530" t="s">
        <v>326</v>
      </c>
      <c r="L4" s="532"/>
      <c r="M4" s="476" t="s">
        <v>327</v>
      </c>
      <c r="N4" s="476" t="s">
        <v>328</v>
      </c>
      <c r="O4" s="476" t="s">
        <v>328</v>
      </c>
      <c r="P4" s="476" t="s">
        <v>329</v>
      </c>
      <c r="Q4" s="476" t="s">
        <v>330</v>
      </c>
      <c r="R4" s="528" t="s">
        <v>328</v>
      </c>
      <c r="S4" s="528" t="s">
        <v>51</v>
      </c>
    </row>
    <row r="5" spans="1:19" ht="42">
      <c r="A5" s="529"/>
      <c r="B5" s="477" t="s">
        <v>331</v>
      </c>
      <c r="C5" s="478"/>
      <c r="D5" s="478"/>
      <c r="E5" s="531"/>
      <c r="F5" s="531"/>
      <c r="G5" s="477" t="s">
        <v>332</v>
      </c>
      <c r="H5" s="478" t="s">
        <v>332</v>
      </c>
      <c r="I5" s="479" t="s">
        <v>332</v>
      </c>
      <c r="J5" s="478" t="s">
        <v>332</v>
      </c>
      <c r="K5" s="478" t="s">
        <v>333</v>
      </c>
      <c r="L5" s="478" t="s">
        <v>334</v>
      </c>
      <c r="M5" s="478" t="s">
        <v>335</v>
      </c>
      <c r="N5" s="478" t="s">
        <v>336</v>
      </c>
      <c r="O5" s="478" t="s">
        <v>337</v>
      </c>
      <c r="P5" s="478"/>
      <c r="Q5" s="478"/>
      <c r="R5" s="529"/>
      <c r="S5" s="529"/>
    </row>
    <row r="6" spans="1:19" ht="15">
      <c r="A6" s="135" t="s">
        <v>52</v>
      </c>
      <c r="B6" s="135" t="s">
        <v>338</v>
      </c>
      <c r="C6" s="481" t="s">
        <v>339</v>
      </c>
      <c r="D6" s="481" t="s">
        <v>340</v>
      </c>
      <c r="E6" s="135">
        <v>0</v>
      </c>
      <c r="F6" s="135">
        <v>2940</v>
      </c>
      <c r="G6" s="135">
        <v>15</v>
      </c>
      <c r="H6" s="135">
        <v>0</v>
      </c>
      <c r="I6" s="135">
        <f t="shared" ref="I6:I8" si="0">ROUND(F6/1000*H6, 0)*G6</f>
        <v>0</v>
      </c>
      <c r="J6" s="135">
        <v>0</v>
      </c>
      <c r="K6" s="135">
        <v>0</v>
      </c>
      <c r="L6" s="135">
        <v>0</v>
      </c>
      <c r="M6" s="135">
        <v>0</v>
      </c>
      <c r="N6" s="135">
        <f>I6</f>
        <v>0</v>
      </c>
      <c r="O6" s="135">
        <f>J6*F6</f>
        <v>0</v>
      </c>
      <c r="P6" s="135">
        <f>MAX(N6:O6)</f>
        <v>0</v>
      </c>
      <c r="Q6" s="135">
        <f>K6*L6+M6*F6</f>
        <v>0</v>
      </c>
      <c r="R6" s="135">
        <f>MAX(O6:Q6)</f>
        <v>0</v>
      </c>
      <c r="S6" s="7"/>
    </row>
    <row r="7" spans="1:19" ht="15">
      <c r="A7" s="135" t="s">
        <v>56</v>
      </c>
      <c r="B7" s="135" t="s">
        <v>338</v>
      </c>
      <c r="C7" s="481" t="s">
        <v>339</v>
      </c>
      <c r="D7" s="481" t="s">
        <v>340</v>
      </c>
      <c r="E7" s="135">
        <v>0</v>
      </c>
      <c r="F7" s="135">
        <v>12495</v>
      </c>
      <c r="G7" s="135">
        <v>15</v>
      </c>
      <c r="H7" s="135">
        <v>0</v>
      </c>
      <c r="I7" s="135">
        <f t="shared" si="0"/>
        <v>0</v>
      </c>
      <c r="J7" s="135">
        <v>0</v>
      </c>
      <c r="K7" s="135">
        <v>0</v>
      </c>
      <c r="L7" s="135">
        <v>0</v>
      </c>
      <c r="M7" s="135">
        <v>0</v>
      </c>
      <c r="N7" s="135">
        <f t="shared" ref="N7:N13" si="1">I7</f>
        <v>0</v>
      </c>
      <c r="O7" s="135">
        <f t="shared" ref="O7:O13" si="2">J7*F7</f>
        <v>0</v>
      </c>
      <c r="P7" s="135">
        <f t="shared" ref="P7:P13" si="3">MAX(N7:O7)</f>
        <v>0</v>
      </c>
      <c r="Q7" s="135">
        <f t="shared" ref="Q7:Q13" si="4">K7*L7+M7*F7</f>
        <v>0</v>
      </c>
      <c r="R7" s="135">
        <f t="shared" ref="R7:R13" si="5">MAX(O7:Q7)</f>
        <v>0</v>
      </c>
      <c r="S7" s="7"/>
    </row>
    <row r="8" spans="1:19" ht="15">
      <c r="A8" s="135" t="s">
        <v>64</v>
      </c>
      <c r="B8" s="135" t="s">
        <v>338</v>
      </c>
      <c r="C8" s="481" t="s">
        <v>339</v>
      </c>
      <c r="D8" s="481" t="s">
        <v>340</v>
      </c>
      <c r="E8" s="135">
        <v>0</v>
      </c>
      <c r="F8" s="135">
        <v>1500</v>
      </c>
      <c r="G8" s="135">
        <v>15</v>
      </c>
      <c r="H8" s="135">
        <v>0</v>
      </c>
      <c r="I8" s="135">
        <f t="shared" si="0"/>
        <v>0</v>
      </c>
      <c r="J8" s="135">
        <v>0</v>
      </c>
      <c r="K8" s="135">
        <v>0</v>
      </c>
      <c r="L8" s="135">
        <v>0</v>
      </c>
      <c r="M8" s="135">
        <v>0</v>
      </c>
      <c r="N8" s="135">
        <f t="shared" si="1"/>
        <v>0</v>
      </c>
      <c r="O8" s="135">
        <f t="shared" si="2"/>
        <v>0</v>
      </c>
      <c r="P8" s="135">
        <f t="shared" si="3"/>
        <v>0</v>
      </c>
      <c r="Q8" s="135">
        <f t="shared" si="4"/>
        <v>0</v>
      </c>
      <c r="R8" s="135">
        <f t="shared" si="5"/>
        <v>0</v>
      </c>
      <c r="S8" s="7"/>
    </row>
    <row r="9" spans="1:19" ht="48">
      <c r="A9" s="135" t="s">
        <v>60</v>
      </c>
      <c r="B9" s="135" t="s">
        <v>341</v>
      </c>
      <c r="C9" s="135">
        <v>2</v>
      </c>
      <c r="D9" s="481" t="s">
        <v>340</v>
      </c>
      <c r="E9" s="135">
        <v>3</v>
      </c>
      <c r="F9" s="135">
        <v>2100</v>
      </c>
      <c r="G9" s="135">
        <v>15</v>
      </c>
      <c r="H9" s="135">
        <v>5</v>
      </c>
      <c r="I9" s="135">
        <f>ROUND(F9/1000*H9, 0)*G9</f>
        <v>165</v>
      </c>
      <c r="J9" s="135">
        <v>0.15</v>
      </c>
      <c r="K9" s="135">
        <v>0</v>
      </c>
      <c r="L9" s="135">
        <v>0</v>
      </c>
      <c r="M9" s="135">
        <v>0</v>
      </c>
      <c r="N9" s="135">
        <f t="shared" si="1"/>
        <v>165</v>
      </c>
      <c r="O9" s="135">
        <f t="shared" si="2"/>
        <v>315</v>
      </c>
      <c r="P9" s="135">
        <f t="shared" si="3"/>
        <v>315</v>
      </c>
      <c r="Q9" s="135">
        <f t="shared" si="4"/>
        <v>0</v>
      </c>
      <c r="R9" s="135">
        <f t="shared" si="5"/>
        <v>315</v>
      </c>
      <c r="S9" s="480" t="s">
        <v>342</v>
      </c>
    </row>
    <row r="10" spans="1:19" ht="15">
      <c r="A10" s="135" t="s">
        <v>66</v>
      </c>
      <c r="B10" s="135" t="s">
        <v>343</v>
      </c>
      <c r="C10" s="135">
        <v>2</v>
      </c>
      <c r="D10" s="135" t="s">
        <v>344</v>
      </c>
      <c r="E10" s="135">
        <v>0</v>
      </c>
      <c r="F10" s="135">
        <v>2448</v>
      </c>
      <c r="G10" s="135">
        <v>15</v>
      </c>
      <c r="H10" s="135">
        <v>1</v>
      </c>
      <c r="I10" s="135">
        <f>ROUND(F10/1000*H10, 0)*G10</f>
        <v>30</v>
      </c>
      <c r="J10" s="135">
        <v>0.15</v>
      </c>
      <c r="K10" s="135">
        <v>0</v>
      </c>
      <c r="L10" s="135">
        <v>0</v>
      </c>
      <c r="M10" s="135">
        <v>0</v>
      </c>
      <c r="N10" s="135">
        <f t="shared" si="1"/>
        <v>30</v>
      </c>
      <c r="O10" s="135">
        <f t="shared" si="2"/>
        <v>367.2</v>
      </c>
      <c r="P10" s="135">
        <f t="shared" si="3"/>
        <v>367.2</v>
      </c>
      <c r="Q10" s="135">
        <f t="shared" si="4"/>
        <v>0</v>
      </c>
      <c r="R10" s="135">
        <f t="shared" si="5"/>
        <v>367.2</v>
      </c>
      <c r="S10" s="7"/>
    </row>
    <row r="11" spans="1:19" ht="15">
      <c r="A11" s="135" t="s">
        <v>68</v>
      </c>
      <c r="B11" s="135" t="s">
        <v>68</v>
      </c>
      <c r="C11" s="135">
        <v>1</v>
      </c>
      <c r="D11" s="135" t="s">
        <v>345</v>
      </c>
      <c r="E11" s="135">
        <v>16</v>
      </c>
      <c r="F11" s="135">
        <v>3150</v>
      </c>
      <c r="G11" s="135">
        <v>15</v>
      </c>
      <c r="H11" s="135">
        <v>5</v>
      </c>
      <c r="I11" s="135">
        <f>ROUND(F11/1000*H11, 0)*G11</f>
        <v>240</v>
      </c>
      <c r="J11" s="135">
        <v>0.15</v>
      </c>
      <c r="K11" s="135">
        <v>0</v>
      </c>
      <c r="L11" s="135">
        <v>0</v>
      </c>
      <c r="M11" s="135">
        <v>0</v>
      </c>
      <c r="N11" s="135">
        <f t="shared" si="1"/>
        <v>240</v>
      </c>
      <c r="O11" s="135">
        <f t="shared" si="2"/>
        <v>472.5</v>
      </c>
      <c r="P11" s="135">
        <f t="shared" si="3"/>
        <v>472.5</v>
      </c>
      <c r="Q11" s="135">
        <f t="shared" si="4"/>
        <v>0</v>
      </c>
      <c r="R11" s="135">
        <f t="shared" si="5"/>
        <v>472.5</v>
      </c>
      <c r="S11" s="7"/>
    </row>
    <row r="12" spans="1:19" ht="15">
      <c r="A12" s="135" t="s">
        <v>71</v>
      </c>
      <c r="B12" s="135" t="s">
        <v>346</v>
      </c>
      <c r="C12" s="135">
        <v>2</v>
      </c>
      <c r="D12" s="481" t="s">
        <v>340</v>
      </c>
      <c r="E12" s="135">
        <v>1</v>
      </c>
      <c r="F12" s="135">
        <v>420</v>
      </c>
      <c r="G12" s="135">
        <v>15</v>
      </c>
      <c r="H12" s="135">
        <v>5</v>
      </c>
      <c r="I12" s="135">
        <f>ROUND(F12/1000*H12, 0)*G12</f>
        <v>30</v>
      </c>
      <c r="J12" s="135">
        <v>0.15</v>
      </c>
      <c r="K12" s="135">
        <v>25</v>
      </c>
      <c r="L12" s="135">
        <v>6</v>
      </c>
      <c r="M12" s="135">
        <v>0</v>
      </c>
      <c r="N12" s="135">
        <f t="shared" si="1"/>
        <v>30</v>
      </c>
      <c r="O12" s="135">
        <f t="shared" si="2"/>
        <v>63</v>
      </c>
      <c r="P12" s="135">
        <f t="shared" si="3"/>
        <v>63</v>
      </c>
      <c r="Q12" s="135">
        <f t="shared" si="4"/>
        <v>150</v>
      </c>
      <c r="R12" s="135">
        <v>0</v>
      </c>
      <c r="S12" s="7" t="s">
        <v>347</v>
      </c>
    </row>
    <row r="13" spans="1:19" ht="15">
      <c r="A13" s="135" t="s">
        <v>72</v>
      </c>
      <c r="B13" s="135" t="s">
        <v>348</v>
      </c>
      <c r="C13" s="135">
        <v>2</v>
      </c>
      <c r="D13" s="481" t="s">
        <v>340</v>
      </c>
      <c r="E13" s="135">
        <v>1</v>
      </c>
      <c r="F13" s="135">
        <v>462</v>
      </c>
      <c r="G13" s="135">
        <v>15</v>
      </c>
      <c r="H13" s="135">
        <v>5</v>
      </c>
      <c r="I13" s="135">
        <f>ROUND(F13/1000*H13, 0)*G13</f>
        <v>30</v>
      </c>
      <c r="J13" s="135">
        <v>0.15</v>
      </c>
      <c r="K13" s="135">
        <v>0</v>
      </c>
      <c r="L13" s="135">
        <v>0</v>
      </c>
      <c r="M13" s="135">
        <v>0</v>
      </c>
      <c r="N13" s="135">
        <f t="shared" si="1"/>
        <v>30</v>
      </c>
      <c r="O13" s="135">
        <f t="shared" si="2"/>
        <v>69.3</v>
      </c>
      <c r="P13" s="135">
        <f t="shared" si="3"/>
        <v>69.3</v>
      </c>
      <c r="Q13" s="135">
        <f t="shared" si="4"/>
        <v>0</v>
      </c>
      <c r="R13" s="135">
        <f t="shared" si="5"/>
        <v>69.3</v>
      </c>
      <c r="S13" s="7"/>
    </row>
    <row r="14" spans="1:19">
      <c r="A14" s="151"/>
      <c r="B14" s="151"/>
      <c r="C14" s="151"/>
      <c r="D14" s="151"/>
      <c r="E14" s="151"/>
      <c r="F14" s="151"/>
      <c r="G14" s="151"/>
      <c r="H14" s="151"/>
      <c r="I14" s="151"/>
      <c r="J14" s="151"/>
      <c r="K14" s="151"/>
      <c r="L14" s="151"/>
      <c r="M14" s="151"/>
      <c r="N14" s="151"/>
      <c r="O14" s="151"/>
      <c r="P14" s="151"/>
      <c r="Q14" s="151"/>
      <c r="R14" s="151"/>
      <c r="S14" s="151"/>
    </row>
    <row r="15" spans="1:19">
      <c r="A15" s="151"/>
      <c r="B15" s="151"/>
      <c r="C15" s="151"/>
      <c r="D15" s="151"/>
      <c r="E15" s="151"/>
      <c r="F15" s="151"/>
      <c r="G15" s="151"/>
      <c r="H15" s="151"/>
      <c r="I15" s="151"/>
      <c r="J15" s="151"/>
      <c r="K15" s="151"/>
      <c r="L15" s="151"/>
      <c r="M15" s="151"/>
      <c r="N15" s="151"/>
      <c r="O15" s="151"/>
      <c r="P15" s="151"/>
      <c r="Q15" s="151"/>
      <c r="R15" s="151"/>
      <c r="S15" s="151"/>
    </row>
    <row r="16" spans="1:19">
      <c r="A16" s="151"/>
      <c r="B16" s="151"/>
      <c r="C16" s="151"/>
      <c r="D16" s="151"/>
      <c r="E16" s="151"/>
      <c r="F16" s="151"/>
      <c r="G16" s="151"/>
      <c r="H16" s="151"/>
      <c r="I16" s="151"/>
      <c r="J16" s="151"/>
      <c r="K16" s="151"/>
      <c r="L16" s="151"/>
      <c r="M16" s="151"/>
      <c r="N16" s="151"/>
      <c r="O16" s="151"/>
      <c r="P16" s="151"/>
      <c r="Q16" s="151"/>
      <c r="R16" s="151"/>
      <c r="S16" s="151"/>
    </row>
    <row r="17" spans="1:11">
      <c r="A17" s="153"/>
      <c r="B17" s="153"/>
      <c r="C17" s="153"/>
      <c r="D17" s="151"/>
      <c r="E17" s="151"/>
      <c r="F17" s="151"/>
      <c r="G17" s="151"/>
      <c r="H17" s="151"/>
      <c r="I17" s="151"/>
      <c r="J17" s="151"/>
      <c r="K17" s="151"/>
    </row>
    <row r="18" spans="1:11">
      <c r="A18" s="151"/>
      <c r="B18" s="151"/>
      <c r="C18" s="151"/>
      <c r="D18" s="151"/>
      <c r="E18" s="151"/>
      <c r="F18" s="151"/>
      <c r="G18" s="151"/>
      <c r="H18" s="151"/>
      <c r="I18" s="151"/>
      <c r="J18" s="151"/>
      <c r="K18" s="151"/>
    </row>
    <row r="19" spans="1:11">
      <c r="A19" s="153"/>
      <c r="B19" s="220"/>
      <c r="C19" s="220"/>
      <c r="D19" s="151"/>
      <c r="E19" s="151"/>
      <c r="F19" s="151"/>
      <c r="G19" s="151"/>
      <c r="H19" s="151"/>
      <c r="I19" s="151"/>
      <c r="J19" s="151"/>
      <c r="K19" s="151"/>
    </row>
    <row r="21" spans="1:11">
      <c r="A21" s="151"/>
      <c r="B21" s="151"/>
      <c r="C21" s="151"/>
      <c r="D21" s="151"/>
      <c r="E21" s="151"/>
      <c r="F21" s="151"/>
      <c r="G21" s="151"/>
      <c r="H21" s="151"/>
      <c r="I21" s="151"/>
      <c r="J21" s="151"/>
      <c r="K21" s="151"/>
    </row>
    <row r="22" spans="1:11" s="153" customFormat="1" ht="12.95"/>
    <row r="23" spans="1:11" s="153" customFormat="1" ht="12.95"/>
  </sheetData>
  <mergeCells count="7">
    <mergeCell ref="R4:R5"/>
    <mergeCell ref="S4:S5"/>
    <mergeCell ref="A3:K3"/>
    <mergeCell ref="A4:A5"/>
    <mergeCell ref="E4:E5"/>
    <mergeCell ref="F4:F5"/>
    <mergeCell ref="K4:L4"/>
  </mergeCells>
  <phoneticPr fontId="9" type="noConversion"/>
  <pageMargins left="0.7" right="0.7" top="0.75" bottom="0.75" header="0.3" footer="0.3"/>
  <pageSetup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3B237-3052-4CA4-8386-360A60E66E7C}">
  <sheetPr codeName="Sheet19"/>
  <dimension ref="A1:AZ256"/>
  <sheetViews>
    <sheetView workbookViewId="0">
      <selection sqref="A1:F1"/>
    </sheetView>
  </sheetViews>
  <sheetFormatPr defaultColWidth="8.42578125" defaultRowHeight="15"/>
  <cols>
    <col min="1" max="1" width="18.42578125" customWidth="1"/>
    <col min="2" max="2" width="23.42578125" customWidth="1"/>
    <col min="3" max="3" width="16.42578125" customWidth="1"/>
    <col min="4" max="4" width="18.42578125" customWidth="1"/>
    <col min="5" max="5" width="17.42578125" customWidth="1"/>
    <col min="6" max="6" width="15.42578125" customWidth="1"/>
    <col min="7" max="8" width="12.42578125" customWidth="1"/>
    <col min="9" max="9" width="11.42578125" customWidth="1"/>
    <col min="11" max="11" width="14.42578125" customWidth="1"/>
    <col min="13" max="13" width="12.42578125" customWidth="1"/>
    <col min="14" max="14" width="11.42578125" customWidth="1"/>
    <col min="15" max="15" width="13.42578125" customWidth="1"/>
    <col min="16" max="16" width="10" customWidth="1"/>
    <col min="17" max="17" width="12.42578125" customWidth="1"/>
    <col min="18" max="20" width="10.42578125" customWidth="1"/>
    <col min="21" max="21" width="11.42578125" customWidth="1"/>
    <col min="24" max="24" width="12.42578125" customWidth="1"/>
    <col min="25" max="25" width="14.42578125" customWidth="1"/>
  </cols>
  <sheetData>
    <row r="1" spans="1:6" ht="21" customHeight="1">
      <c r="A1" s="538" t="s">
        <v>349</v>
      </c>
      <c r="B1" s="539"/>
      <c r="C1" s="539"/>
      <c r="D1" s="539"/>
      <c r="E1" s="539"/>
      <c r="F1" s="539"/>
    </row>
    <row r="2" spans="1:6">
      <c r="A2" s="142" t="s">
        <v>350</v>
      </c>
      <c r="B2" s="142" t="s">
        <v>351</v>
      </c>
      <c r="C2" s="540" t="s">
        <v>352</v>
      </c>
      <c r="D2" s="540"/>
      <c r="E2" s="147" t="s">
        <v>353</v>
      </c>
      <c r="F2" s="148" t="s">
        <v>354</v>
      </c>
    </row>
    <row r="3" spans="1:6">
      <c r="A3" s="135" t="s">
        <v>355</v>
      </c>
      <c r="B3" s="135">
        <v>6</v>
      </c>
      <c r="C3" s="135"/>
      <c r="D3" s="135">
        <v>0</v>
      </c>
      <c r="E3" s="135"/>
      <c r="F3" s="93"/>
    </row>
    <row r="4" spans="1:6">
      <c r="A4" s="135" t="s">
        <v>356</v>
      </c>
      <c r="B4" s="135">
        <v>1</v>
      </c>
      <c r="C4" s="135" t="s">
        <v>357</v>
      </c>
      <c r="D4" s="135">
        <v>0.2</v>
      </c>
      <c r="E4" s="135"/>
      <c r="F4" s="93"/>
    </row>
    <row r="5" spans="1:6">
      <c r="A5" s="135" t="s">
        <v>358</v>
      </c>
      <c r="B5" s="135">
        <v>1</v>
      </c>
      <c r="C5" s="135" t="s">
        <v>359</v>
      </c>
      <c r="D5" s="135">
        <v>0.7</v>
      </c>
      <c r="E5" s="135"/>
      <c r="F5" s="93"/>
    </row>
    <row r="6" spans="1:6">
      <c r="A6" s="143" t="s">
        <v>360</v>
      </c>
      <c r="B6" s="135">
        <v>9</v>
      </c>
      <c r="C6" s="135" t="s">
        <v>361</v>
      </c>
      <c r="D6" s="135">
        <v>1</v>
      </c>
      <c r="E6" s="135"/>
      <c r="F6" s="93"/>
    </row>
    <row r="7" spans="1:6">
      <c r="A7" s="135" t="s">
        <v>362</v>
      </c>
      <c r="B7" s="135">
        <v>1</v>
      </c>
      <c r="C7" s="135" t="s">
        <v>359</v>
      </c>
      <c r="D7" s="135">
        <v>0.7</v>
      </c>
      <c r="E7" s="135"/>
      <c r="F7" s="93"/>
    </row>
    <row r="8" spans="1:6">
      <c r="A8" s="135" t="s">
        <v>363</v>
      </c>
      <c r="B8" s="135">
        <v>1</v>
      </c>
      <c r="C8" s="135" t="s">
        <v>364</v>
      </c>
      <c r="D8" s="135">
        <v>0.5</v>
      </c>
      <c r="E8" s="135"/>
      <c r="F8" s="93"/>
    </row>
    <row r="9" spans="1:6">
      <c r="A9" s="135" t="s">
        <v>365</v>
      </c>
      <c r="B9" s="135">
        <v>1</v>
      </c>
      <c r="C9" s="135" t="s">
        <v>357</v>
      </c>
      <c r="D9" s="135">
        <v>0.3</v>
      </c>
      <c r="E9" s="135"/>
      <c r="F9" s="93"/>
    </row>
    <row r="10" spans="1:6">
      <c r="A10" s="135" t="s">
        <v>366</v>
      </c>
      <c r="B10" s="135">
        <v>2</v>
      </c>
      <c r="C10" s="135" t="s">
        <v>357</v>
      </c>
      <c r="D10" s="135">
        <v>0.2</v>
      </c>
      <c r="E10" s="135"/>
      <c r="F10" s="93"/>
    </row>
    <row r="11" spans="1:6">
      <c r="A11" s="135" t="s">
        <v>367</v>
      </c>
      <c r="B11" s="135">
        <v>2</v>
      </c>
      <c r="C11" s="135"/>
      <c r="D11" s="135">
        <v>0</v>
      </c>
      <c r="E11" s="135"/>
      <c r="F11" s="144"/>
    </row>
    <row r="12" spans="1:6">
      <c r="A12" s="93"/>
      <c r="B12" s="93"/>
      <c r="C12" s="93"/>
      <c r="D12" s="69">
        <f>SUMPRODUCT(D4:D10,B4:B10)</f>
        <v>11.8</v>
      </c>
      <c r="E12" s="149">
        <f>(E35-D12*249)/(52*2+11)</f>
        <v>3.0267019900374774</v>
      </c>
      <c r="F12" s="150">
        <v>0</v>
      </c>
    </row>
    <row r="13" spans="1:6">
      <c r="A13" s="93"/>
      <c r="B13" s="93"/>
      <c r="C13" s="93"/>
      <c r="D13" s="93"/>
      <c r="E13" s="93"/>
      <c r="F13" s="144"/>
    </row>
    <row r="14" spans="1:6">
      <c r="A14" s="93"/>
      <c r="B14" s="93"/>
      <c r="C14" s="93"/>
      <c r="D14" s="93"/>
      <c r="E14" s="93"/>
      <c r="F14" s="144"/>
    </row>
    <row r="15" spans="1:6">
      <c r="A15" s="93"/>
      <c r="B15" s="93"/>
      <c r="C15" s="93"/>
      <c r="D15" s="93"/>
      <c r="E15" s="93"/>
      <c r="F15" s="144"/>
    </row>
    <row r="16" spans="1:6">
      <c r="A16" s="93"/>
      <c r="B16" s="93"/>
      <c r="C16" s="93"/>
      <c r="D16" s="93"/>
      <c r="E16" s="93"/>
      <c r="F16" s="144"/>
    </row>
    <row r="17" spans="1:7">
      <c r="A17" s="93"/>
      <c r="B17" s="93"/>
      <c r="C17" s="93"/>
      <c r="D17" s="93"/>
      <c r="E17" s="93"/>
      <c r="F17" s="144"/>
    </row>
    <row r="19" spans="1:7" ht="18.95">
      <c r="D19" s="145"/>
      <c r="E19" s="146"/>
    </row>
    <row r="20" spans="1:7" ht="18.95">
      <c r="D20" s="145"/>
      <c r="E20" s="146"/>
    </row>
    <row r="21" spans="1:7" ht="18.95">
      <c r="D21" s="145"/>
      <c r="E21" s="146"/>
    </row>
    <row r="22" spans="1:7" ht="18.95">
      <c r="D22" s="145"/>
      <c r="E22" s="146"/>
    </row>
    <row r="23" spans="1:7" ht="18.95">
      <c r="D23" s="145"/>
      <c r="E23" s="146"/>
    </row>
    <row r="24" spans="1:7" ht="18.95">
      <c r="D24" s="145"/>
      <c r="E24" s="146"/>
    </row>
    <row r="25" spans="1:7" ht="18.95">
      <c r="D25" s="145"/>
      <c r="E25" s="146"/>
    </row>
    <row r="26" spans="1:7" ht="18.95">
      <c r="D26" s="145"/>
      <c r="E26" s="146"/>
    </row>
    <row r="27" spans="1:7" ht="18.95">
      <c r="D27" s="145"/>
      <c r="E27" s="146"/>
    </row>
    <row r="28" spans="1:7" ht="18.95">
      <c r="D28" s="145"/>
      <c r="E28" s="146"/>
    </row>
    <row r="29" spans="1:7" ht="18.95">
      <c r="D29" s="145"/>
      <c r="E29" s="146"/>
    </row>
    <row r="30" spans="1:7" s="136" customFormat="1" ht="18.95">
      <c r="A30" s="136" t="s">
        <v>79</v>
      </c>
      <c r="E30" s="139"/>
      <c r="F30" s="140"/>
      <c r="G30" s="141"/>
    </row>
    <row r="31" spans="1:7" ht="18.95">
      <c r="E31" s="145"/>
      <c r="F31" s="146"/>
    </row>
    <row r="32" spans="1:7" ht="18.95">
      <c r="E32" s="145"/>
      <c r="F32" s="146"/>
    </row>
    <row r="33" spans="1:24" ht="27" customHeight="1">
      <c r="A33" s="541" t="s">
        <v>368</v>
      </c>
      <c r="B33" s="541"/>
      <c r="C33" s="541"/>
      <c r="D33" s="541"/>
      <c r="E33" s="541"/>
      <c r="F33" s="541"/>
      <c r="G33" s="541"/>
      <c r="H33" s="541"/>
      <c r="I33" s="541"/>
      <c r="J33" s="541"/>
      <c r="K33" s="541"/>
      <c r="L33" s="541"/>
      <c r="M33" s="541"/>
      <c r="N33" s="129"/>
      <c r="O33" s="129"/>
      <c r="P33" s="129"/>
      <c r="Q33" s="129"/>
      <c r="R33" s="129"/>
      <c r="S33" s="129"/>
      <c r="T33" s="129"/>
      <c r="U33" s="129"/>
      <c r="V33" s="129"/>
      <c r="W33" s="129"/>
    </row>
    <row r="34" spans="1:24" ht="18.75" customHeight="1">
      <c r="A34" s="130"/>
      <c r="B34" s="130"/>
      <c r="C34" s="130"/>
      <c r="D34" s="130"/>
      <c r="E34" s="130"/>
      <c r="F34" s="130"/>
      <c r="G34" s="130"/>
      <c r="H34" s="130"/>
      <c r="I34" s="130"/>
      <c r="J34" s="130"/>
      <c r="K34" s="130"/>
      <c r="L34" s="130"/>
      <c r="M34" s="130"/>
      <c r="N34" s="3"/>
      <c r="O34" s="3"/>
      <c r="P34" s="3"/>
      <c r="Q34" s="3"/>
      <c r="R34" s="3"/>
      <c r="S34" s="3"/>
      <c r="T34" s="3"/>
      <c r="U34" s="3"/>
      <c r="V34" s="3"/>
      <c r="W34" s="3"/>
    </row>
    <row r="35" spans="1:24" ht="18.95">
      <c r="A35" s="533" t="s">
        <v>369</v>
      </c>
      <c r="B35" s="533"/>
      <c r="C35" s="533"/>
      <c r="D35" s="91" t="s">
        <v>208</v>
      </c>
      <c r="E35" s="101">
        <v>3286.2707288543102</v>
      </c>
      <c r="F35" s="96"/>
      <c r="G35" t="s">
        <v>370</v>
      </c>
      <c r="H35">
        <f>52*5-11</f>
        <v>249</v>
      </c>
      <c r="I35" s="96"/>
      <c r="J35" s="96"/>
      <c r="K35" s="96"/>
      <c r="L35" s="96"/>
      <c r="M35" s="96"/>
    </row>
    <row r="36" spans="1:24" ht="18.95">
      <c r="A36" s="533" t="s">
        <v>371</v>
      </c>
      <c r="B36" s="533"/>
      <c r="C36" s="533"/>
      <c r="D36" s="91" t="s">
        <v>208</v>
      </c>
      <c r="E36" s="102">
        <v>9.0034814489159292</v>
      </c>
      <c r="F36" s="96"/>
      <c r="G36" s="96"/>
      <c r="H36" s="96"/>
      <c r="I36" s="96"/>
      <c r="J36" s="96"/>
      <c r="K36" s="96"/>
      <c r="L36" s="96"/>
      <c r="M36" s="96"/>
    </row>
    <row r="37" spans="1:24" ht="30" customHeight="1">
      <c r="A37" s="542" t="s">
        <v>372</v>
      </c>
      <c r="B37" s="542"/>
      <c r="C37" s="542"/>
      <c r="D37" s="133" t="s">
        <v>208</v>
      </c>
      <c r="E37" s="132">
        <f>E35/H35</f>
        <v>13.197874413069519</v>
      </c>
      <c r="F37" s="134"/>
      <c r="G37" s="134"/>
      <c r="H37" s="96"/>
      <c r="I37" s="96"/>
      <c r="J37" s="96"/>
      <c r="K37" s="96"/>
      <c r="L37" s="96"/>
      <c r="M37" s="96"/>
    </row>
    <row r="38" spans="1:24" ht="18.95">
      <c r="A38" s="89"/>
      <c r="B38" s="89"/>
      <c r="C38" s="89"/>
      <c r="D38" s="90"/>
      <c r="E38" s="131"/>
      <c r="F38" s="96"/>
      <c r="G38" s="96"/>
      <c r="H38" s="96"/>
      <c r="I38" s="96"/>
      <c r="J38" s="96"/>
      <c r="K38" s="96"/>
      <c r="L38" s="96"/>
      <c r="M38" s="96"/>
    </row>
    <row r="40" spans="1:24" ht="15.95">
      <c r="A40" s="112" t="s">
        <v>373</v>
      </c>
      <c r="B40" s="103"/>
      <c r="C40" s="103"/>
      <c r="D40" s="103"/>
      <c r="E40" s="103"/>
      <c r="F40" s="103"/>
      <c r="G40" s="103"/>
      <c r="H40" s="103"/>
      <c r="I40" s="103"/>
      <c r="J40" s="103"/>
      <c r="K40" s="103"/>
      <c r="L40" s="103"/>
    </row>
    <row r="41" spans="1:24" ht="30">
      <c r="A41" s="117" t="s">
        <v>374</v>
      </c>
      <c r="B41" s="117" t="s">
        <v>375</v>
      </c>
      <c r="C41" s="118" t="s">
        <v>7</v>
      </c>
      <c r="D41" s="119" t="s">
        <v>376</v>
      </c>
      <c r="E41" s="119" t="s">
        <v>377</v>
      </c>
      <c r="F41" s="119" t="s">
        <v>378</v>
      </c>
      <c r="G41" s="119" t="s">
        <v>379</v>
      </c>
      <c r="H41" s="119" t="s">
        <v>380</v>
      </c>
      <c r="I41" s="119" t="s">
        <v>381</v>
      </c>
      <c r="J41" s="119" t="s">
        <v>382</v>
      </c>
      <c r="K41" s="119" t="s">
        <v>383</v>
      </c>
      <c r="L41" s="119" t="s">
        <v>384</v>
      </c>
      <c r="M41" s="104" t="s">
        <v>385</v>
      </c>
    </row>
    <row r="42" spans="1:24">
      <c r="A42" s="113" t="s">
        <v>386</v>
      </c>
      <c r="B42" s="114" t="s">
        <v>207</v>
      </c>
      <c r="C42" s="115" t="s">
        <v>208</v>
      </c>
      <c r="D42" s="116">
        <v>9.2199272562384325E-3</v>
      </c>
      <c r="E42" s="121">
        <v>0.3704176112589761</v>
      </c>
      <c r="F42" s="121">
        <v>0.52762779289229078</v>
      </c>
      <c r="G42" s="116">
        <v>5.0098236618718602E-2</v>
      </c>
      <c r="H42" s="116">
        <v>1.1767081866806783E-2</v>
      </c>
      <c r="I42" s="116">
        <v>5.6645949132663256E-3</v>
      </c>
      <c r="J42" s="116">
        <v>6.7988415461615378E-3</v>
      </c>
      <c r="K42" s="116">
        <v>1.8405913647544257E-2</v>
      </c>
      <c r="L42" s="116">
        <v>1.0000000000000007</v>
      </c>
      <c r="M42" s="105"/>
    </row>
    <row r="43" spans="1:24">
      <c r="A43" s="110"/>
      <c r="B43" s="110"/>
      <c r="C43" s="110"/>
      <c r="D43" s="111"/>
      <c r="E43" s="111"/>
      <c r="F43" s="111"/>
      <c r="G43" s="111"/>
      <c r="H43" s="111"/>
      <c r="I43" s="111"/>
      <c r="J43" s="111"/>
      <c r="K43" s="111"/>
      <c r="L43" s="111"/>
    </row>
    <row r="44" spans="1:24">
      <c r="A44" s="112" t="s">
        <v>387</v>
      </c>
    </row>
    <row r="45" spans="1:24" ht="24">
      <c r="A45" s="124" t="s">
        <v>374</v>
      </c>
      <c r="B45" s="124" t="s">
        <v>375</v>
      </c>
      <c r="C45" s="125" t="s">
        <v>7</v>
      </c>
      <c r="D45" s="126" t="s">
        <v>388</v>
      </c>
      <c r="E45" s="126" t="s">
        <v>389</v>
      </c>
      <c r="F45" s="126" t="s">
        <v>390</v>
      </c>
      <c r="G45" s="126" t="s">
        <v>391</v>
      </c>
      <c r="H45" s="126" t="s">
        <v>392</v>
      </c>
      <c r="I45" s="126" t="s">
        <v>393</v>
      </c>
      <c r="J45" s="126" t="s">
        <v>394</v>
      </c>
      <c r="K45" s="126" t="s">
        <v>395</v>
      </c>
      <c r="L45" s="126" t="s">
        <v>396</v>
      </c>
      <c r="M45" s="126" t="s">
        <v>397</v>
      </c>
      <c r="N45" s="126" t="s">
        <v>398</v>
      </c>
      <c r="O45" s="126" t="s">
        <v>399</v>
      </c>
      <c r="P45" s="126" t="s">
        <v>400</v>
      </c>
      <c r="Q45" s="126" t="s">
        <v>401</v>
      </c>
      <c r="R45" s="126" t="s">
        <v>402</v>
      </c>
      <c r="S45" s="126" t="s">
        <v>403</v>
      </c>
      <c r="T45" s="126" t="s">
        <v>404</v>
      </c>
      <c r="U45" s="126" t="s">
        <v>405</v>
      </c>
      <c r="V45" s="126" t="s">
        <v>406</v>
      </c>
      <c r="W45" s="127" t="s">
        <v>384</v>
      </c>
      <c r="X45" s="104" t="s">
        <v>407</v>
      </c>
    </row>
    <row r="46" spans="1:24">
      <c r="A46" s="98" t="s">
        <v>386</v>
      </c>
      <c r="B46" s="98" t="s">
        <v>207</v>
      </c>
      <c r="C46" s="98" t="s">
        <v>208</v>
      </c>
      <c r="D46" s="120">
        <v>6.2650871625672202E-4</v>
      </c>
      <c r="E46" s="120">
        <v>3.0686645429828228E-3</v>
      </c>
      <c r="F46" s="120">
        <v>1.5742559501458413E-2</v>
      </c>
      <c r="G46" s="121">
        <v>7.1774338935779822E-2</v>
      </c>
      <c r="H46" s="122">
        <v>0.5363752827612488</v>
      </c>
      <c r="I46" s="123">
        <v>0.19274235306630758</v>
      </c>
      <c r="J46" s="121">
        <v>8.7378482422057049E-2</v>
      </c>
      <c r="K46" s="120">
        <v>2.4838127253031455E-2</v>
      </c>
      <c r="L46" s="120">
        <v>1.9926606377181764E-2</v>
      </c>
      <c r="M46" s="120">
        <v>6.3344986240465653E-3</v>
      </c>
      <c r="N46" s="120">
        <v>5.8534528117841636E-3</v>
      </c>
      <c r="O46" s="120">
        <v>5.3988043496900791E-3</v>
      </c>
      <c r="P46" s="120">
        <v>2.1390822506302141E-3</v>
      </c>
      <c r="Q46" s="120">
        <v>2.5964831938382503E-3</v>
      </c>
      <c r="R46" s="120">
        <v>5.0745005735573491E-5</v>
      </c>
      <c r="S46" s="120">
        <v>0</v>
      </c>
      <c r="T46" s="120">
        <v>3.7350006082068505E-4</v>
      </c>
      <c r="U46" s="120">
        <v>3.45688594189628E-3</v>
      </c>
      <c r="V46" s="120">
        <v>2.1323624185253184E-2</v>
      </c>
      <c r="W46" s="120">
        <v>0.99999999999999944</v>
      </c>
    </row>
    <row r="50" spans="1:23" ht="25.5" customHeight="1">
      <c r="A50" s="536" t="s">
        <v>408</v>
      </c>
      <c r="B50" s="536"/>
      <c r="C50" s="536"/>
      <c r="D50" s="536"/>
      <c r="E50" s="536"/>
      <c r="F50" s="536"/>
      <c r="G50" s="536"/>
      <c r="H50" s="536"/>
      <c r="I50" s="536"/>
      <c r="J50" s="536"/>
      <c r="K50" s="536"/>
      <c r="L50" s="536"/>
      <c r="M50" s="536"/>
      <c r="N50" s="128"/>
      <c r="O50" s="128"/>
      <c r="P50" s="128"/>
      <c r="Q50" s="128"/>
      <c r="R50" s="128"/>
      <c r="S50" s="128"/>
      <c r="T50" s="128"/>
      <c r="U50" s="128"/>
      <c r="V50" s="128"/>
      <c r="W50" s="128"/>
    </row>
    <row r="51" spans="1:23" ht="18" customHeight="1">
      <c r="A51" s="138"/>
      <c r="B51" s="138"/>
      <c r="C51" s="138"/>
      <c r="D51" s="138"/>
      <c r="E51" s="138"/>
      <c r="F51" s="138"/>
      <c r="G51" s="138"/>
      <c r="H51" s="138"/>
      <c r="I51" s="138"/>
      <c r="J51" s="138"/>
      <c r="K51" s="138"/>
      <c r="L51" s="138"/>
      <c r="M51" s="138"/>
    </row>
    <row r="52" spans="1:23" ht="18" customHeight="1">
      <c r="A52" s="138"/>
      <c r="B52" s="138"/>
      <c r="C52" s="138"/>
      <c r="D52" s="138"/>
      <c r="E52" s="138"/>
      <c r="F52" s="138"/>
      <c r="G52" s="138"/>
      <c r="H52" s="138"/>
      <c r="I52" s="138"/>
      <c r="J52" s="138"/>
      <c r="K52" s="138"/>
      <c r="L52" s="138"/>
      <c r="M52" s="138"/>
    </row>
    <row r="53" spans="1:23" ht="18" customHeight="1">
      <c r="A53" s="138"/>
      <c r="B53" s="138"/>
      <c r="C53" s="138"/>
      <c r="D53" s="138"/>
      <c r="E53" s="138"/>
      <c r="F53" s="138"/>
      <c r="G53" s="138"/>
      <c r="H53" s="138"/>
      <c r="I53" s="138"/>
      <c r="J53" s="138"/>
      <c r="K53" s="138"/>
      <c r="L53" s="138"/>
      <c r="M53" s="138"/>
    </row>
    <row r="54" spans="1:23" ht="18" customHeight="1">
      <c r="A54" s="138"/>
      <c r="B54" s="138"/>
      <c r="C54" s="138"/>
      <c r="D54" s="138"/>
      <c r="E54" s="138"/>
      <c r="F54" s="138"/>
      <c r="G54" s="138"/>
      <c r="H54" s="138"/>
      <c r="I54" s="138"/>
      <c r="J54" s="138"/>
      <c r="K54" s="138"/>
      <c r="L54" s="138"/>
      <c r="M54" s="138"/>
    </row>
    <row r="55" spans="1:23" ht="18" customHeight="1">
      <c r="A55" s="138"/>
      <c r="B55" s="138"/>
      <c r="C55" s="138"/>
      <c r="D55" s="138"/>
      <c r="E55" s="138"/>
      <c r="F55" s="138"/>
      <c r="G55" s="138"/>
      <c r="H55" s="138"/>
      <c r="I55" s="138"/>
      <c r="J55" s="138"/>
      <c r="K55" s="138"/>
      <c r="L55" s="138"/>
      <c r="M55" s="138"/>
    </row>
    <row r="56" spans="1:23" ht="18" customHeight="1">
      <c r="A56" s="138"/>
      <c r="B56" s="138"/>
      <c r="C56" s="138"/>
      <c r="D56" s="138"/>
      <c r="E56" s="138"/>
      <c r="F56" s="138"/>
      <c r="G56" s="138"/>
      <c r="H56" s="138"/>
      <c r="I56" s="138"/>
      <c r="J56" s="138"/>
      <c r="K56" s="138"/>
      <c r="L56" s="138"/>
      <c r="M56" s="138"/>
    </row>
    <row r="57" spans="1:23" ht="18" customHeight="1">
      <c r="A57" s="138"/>
      <c r="B57" s="138"/>
      <c r="C57" s="138"/>
      <c r="D57" s="138"/>
      <c r="E57" s="138"/>
      <c r="F57" s="138"/>
      <c r="G57" s="138"/>
      <c r="H57" s="138"/>
      <c r="I57" s="138"/>
      <c r="J57" s="138"/>
      <c r="K57" s="138"/>
      <c r="L57" s="138"/>
      <c r="M57" s="138"/>
    </row>
    <row r="58" spans="1:23" ht="36" customHeight="1">
      <c r="A58" s="138"/>
      <c r="B58" s="138"/>
      <c r="C58" s="138"/>
      <c r="D58" s="138"/>
      <c r="E58" s="138"/>
      <c r="F58" s="138"/>
      <c r="G58" s="138"/>
      <c r="H58" s="138"/>
      <c r="I58" s="138"/>
      <c r="J58" s="138"/>
      <c r="K58" s="138"/>
      <c r="L58" s="138"/>
      <c r="M58" s="138"/>
    </row>
    <row r="59" spans="1:23" ht="18" customHeight="1">
      <c r="A59" s="138"/>
      <c r="B59" s="138"/>
      <c r="C59" s="138"/>
      <c r="D59" s="138"/>
      <c r="E59" s="138"/>
      <c r="F59" s="138"/>
      <c r="G59" s="138"/>
      <c r="H59" s="138"/>
      <c r="I59" s="138"/>
      <c r="J59" s="138"/>
      <c r="K59" s="138"/>
      <c r="L59" s="138"/>
      <c r="M59" s="138"/>
    </row>
    <row r="60" spans="1:23" ht="18" customHeight="1">
      <c r="A60" s="138"/>
      <c r="B60" s="138"/>
      <c r="C60" s="138"/>
      <c r="D60" s="138"/>
      <c r="E60" s="138"/>
      <c r="F60" s="138"/>
      <c r="G60" s="138"/>
      <c r="H60" s="138"/>
      <c r="I60" s="138"/>
      <c r="J60" s="138"/>
      <c r="K60" s="138"/>
      <c r="L60" s="138"/>
      <c r="M60" s="138"/>
    </row>
    <row r="61" spans="1:23" ht="18" customHeight="1">
      <c r="A61" s="138"/>
      <c r="B61" s="138"/>
      <c r="C61" s="138"/>
      <c r="D61" s="138"/>
      <c r="E61" s="138"/>
      <c r="F61" s="138"/>
      <c r="G61" s="138"/>
      <c r="H61" s="138"/>
      <c r="I61" s="138"/>
      <c r="J61" s="138"/>
      <c r="K61" s="138"/>
      <c r="L61" s="138"/>
      <c r="M61" s="138"/>
    </row>
    <row r="62" spans="1:23" ht="18" customHeight="1">
      <c r="A62" s="138"/>
      <c r="B62" s="138"/>
      <c r="C62" s="138"/>
      <c r="D62" s="138"/>
      <c r="E62" s="138"/>
      <c r="F62" s="138"/>
      <c r="G62" s="138"/>
      <c r="H62" s="138"/>
      <c r="I62" s="138"/>
      <c r="J62" s="138"/>
      <c r="K62" s="138"/>
      <c r="L62" s="138"/>
      <c r="M62" s="138"/>
    </row>
    <row r="63" spans="1:23" ht="18" customHeight="1">
      <c r="A63" s="138"/>
      <c r="B63" s="138"/>
      <c r="C63" s="138"/>
      <c r="D63" s="138"/>
      <c r="E63" s="138"/>
      <c r="F63" s="138"/>
      <c r="G63" s="138"/>
      <c r="H63" s="138"/>
      <c r="I63" s="138"/>
      <c r="J63" s="138"/>
      <c r="K63" s="138"/>
      <c r="L63" s="138"/>
      <c r="M63" s="138"/>
    </row>
    <row r="64" spans="1:23" ht="18" customHeight="1">
      <c r="A64" s="138"/>
      <c r="B64" s="138"/>
      <c r="C64" s="138"/>
      <c r="D64" s="138"/>
      <c r="E64" s="138"/>
      <c r="F64" s="138"/>
      <c r="G64" s="138"/>
      <c r="H64" s="138"/>
      <c r="I64" s="138"/>
      <c r="J64" s="138"/>
      <c r="K64" s="138"/>
      <c r="L64" s="138"/>
      <c r="M64" s="138"/>
    </row>
    <row r="65" spans="1:26" ht="18" customHeight="1">
      <c r="A65" s="138"/>
      <c r="B65" s="138"/>
      <c r="C65" s="138"/>
      <c r="D65" s="138"/>
      <c r="E65" s="138"/>
      <c r="F65" s="138"/>
      <c r="G65" s="138"/>
      <c r="H65" s="138"/>
      <c r="I65" s="138"/>
      <c r="J65" s="138"/>
      <c r="K65" s="138"/>
      <c r="L65" s="138"/>
      <c r="M65" s="138"/>
      <c r="O65" s="110"/>
      <c r="P65" s="110"/>
      <c r="Q65" s="110"/>
      <c r="R65" s="111"/>
      <c r="S65" s="111"/>
      <c r="T65" s="111"/>
      <c r="U65" s="111"/>
      <c r="V65" s="111"/>
      <c r="W65" s="111"/>
      <c r="X65" s="111"/>
      <c r="Y65" s="111"/>
      <c r="Z65" s="111"/>
    </row>
    <row r="66" spans="1:26" ht="15" customHeight="1">
      <c r="B66" s="535" t="s">
        <v>409</v>
      </c>
      <c r="C66" s="535"/>
      <c r="E66" s="535" t="s">
        <v>410</v>
      </c>
      <c r="F66" s="535"/>
      <c r="G66" s="535"/>
      <c r="J66" s="535" t="s">
        <v>411</v>
      </c>
      <c r="K66" s="535"/>
      <c r="L66" s="535"/>
      <c r="N66" s="110"/>
      <c r="O66" s="110"/>
      <c r="P66" s="110"/>
      <c r="Q66" s="111"/>
      <c r="R66" s="111"/>
      <c r="S66" s="111"/>
      <c r="T66" s="111"/>
      <c r="U66" s="111"/>
      <c r="V66" s="111"/>
      <c r="W66" s="111"/>
      <c r="X66" s="111"/>
      <c r="Y66" s="111"/>
    </row>
    <row r="67" spans="1:26" ht="15" customHeight="1">
      <c r="A67" t="s">
        <v>351</v>
      </c>
      <c r="B67" t="s">
        <v>412</v>
      </c>
      <c r="C67">
        <v>18.580625999999999</v>
      </c>
      <c r="F67" s="19" t="s">
        <v>413</v>
      </c>
      <c r="G67" s="106">
        <f>1/0.0538</f>
        <v>18.587360594795538</v>
      </c>
      <c r="J67" s="537" t="s">
        <v>414</v>
      </c>
      <c r="K67" s="537"/>
      <c r="L67" s="2">
        <f>1/ 0.0538195521</f>
        <v>18.580607994320339</v>
      </c>
      <c r="N67" s="110"/>
      <c r="O67" s="110"/>
      <c r="P67" s="110"/>
      <c r="Q67" s="111"/>
      <c r="R67" s="111"/>
      <c r="S67" s="111"/>
      <c r="T67" s="111"/>
      <c r="U67" s="111"/>
      <c r="V67" s="111"/>
      <c r="W67" s="111"/>
      <c r="X67" s="111"/>
      <c r="Y67" s="111"/>
    </row>
    <row r="68" spans="1:26" ht="15" customHeight="1">
      <c r="B68" t="s">
        <v>415</v>
      </c>
      <c r="C68" t="s">
        <v>416</v>
      </c>
      <c r="E68" t="s">
        <v>417</v>
      </c>
      <c r="F68" t="s">
        <v>418</v>
      </c>
      <c r="G68" t="s">
        <v>419</v>
      </c>
      <c r="J68" t="s">
        <v>420</v>
      </c>
      <c r="K68" t="s">
        <v>421</v>
      </c>
      <c r="L68" t="s">
        <v>422</v>
      </c>
      <c r="N68" s="110"/>
      <c r="O68" s="110"/>
      <c r="P68" s="110"/>
      <c r="Q68" s="111"/>
      <c r="R68" s="111"/>
      <c r="S68" s="111"/>
      <c r="T68" s="111"/>
      <c r="U68" s="111"/>
      <c r="V68" s="111"/>
      <c r="W68" s="111"/>
      <c r="X68" s="111"/>
      <c r="Y68" s="111"/>
    </row>
    <row r="69" spans="1:26" ht="15" customHeight="1">
      <c r="A69">
        <v>1</v>
      </c>
      <c r="B69">
        <v>0</v>
      </c>
      <c r="C69">
        <v>0</v>
      </c>
      <c r="E69">
        <v>0</v>
      </c>
      <c r="F69">
        <v>0</v>
      </c>
      <c r="G69">
        <v>0</v>
      </c>
      <c r="J69">
        <v>0</v>
      </c>
      <c r="K69">
        <v>0</v>
      </c>
      <c r="L69">
        <v>0</v>
      </c>
      <c r="N69" s="110"/>
      <c r="O69" s="110"/>
      <c r="P69" s="110"/>
      <c r="Q69" s="111"/>
      <c r="R69" s="111"/>
      <c r="S69" s="111"/>
      <c r="T69" s="111"/>
      <c r="U69" s="111"/>
      <c r="V69" s="111"/>
      <c r="W69" s="111"/>
      <c r="X69" s="111"/>
      <c r="Y69" s="111"/>
    </row>
    <row r="70" spans="1:26" ht="15" customHeight="1">
      <c r="A70">
        <f t="shared" ref="A70:A92" si="0">A69+1</f>
        <v>2</v>
      </c>
      <c r="B70">
        <v>0</v>
      </c>
      <c r="C70">
        <v>0</v>
      </c>
      <c r="E70">
        <v>0</v>
      </c>
      <c r="F70">
        <v>0</v>
      </c>
      <c r="G70">
        <v>0</v>
      </c>
      <c r="J70">
        <v>0</v>
      </c>
      <c r="K70">
        <v>0</v>
      </c>
      <c r="L70">
        <v>0</v>
      </c>
      <c r="N70" s="110"/>
      <c r="O70" s="110"/>
      <c r="P70" s="110"/>
      <c r="Q70" s="111"/>
      <c r="R70" s="111"/>
      <c r="S70" s="111"/>
      <c r="T70" s="111"/>
      <c r="U70" s="111"/>
      <c r="V70" s="111"/>
      <c r="W70" s="111"/>
      <c r="X70" s="111"/>
      <c r="Y70" s="111"/>
    </row>
    <row r="71" spans="1:26" ht="15" customHeight="1">
      <c r="A71">
        <f t="shared" si="0"/>
        <v>3</v>
      </c>
      <c r="B71">
        <v>0</v>
      </c>
      <c r="C71">
        <v>0</v>
      </c>
      <c r="E71">
        <v>0</v>
      </c>
      <c r="F71">
        <v>0</v>
      </c>
      <c r="G71">
        <v>0</v>
      </c>
      <c r="J71">
        <v>0</v>
      </c>
      <c r="K71">
        <v>0</v>
      </c>
      <c r="L71">
        <v>0</v>
      </c>
      <c r="N71" s="110"/>
      <c r="O71" s="110"/>
      <c r="P71" s="110"/>
      <c r="Q71" s="111"/>
      <c r="R71" s="111"/>
      <c r="S71" s="111"/>
      <c r="T71" s="111"/>
      <c r="U71" s="111"/>
      <c r="V71" s="111"/>
      <c r="W71" s="111"/>
      <c r="X71" s="111"/>
      <c r="Y71" s="111"/>
    </row>
    <row r="72" spans="1:26" ht="15" customHeight="1">
      <c r="A72">
        <f t="shared" si="0"/>
        <v>4</v>
      </c>
      <c r="B72">
        <v>0</v>
      </c>
      <c r="C72">
        <v>0</v>
      </c>
      <c r="E72">
        <v>0</v>
      </c>
      <c r="F72">
        <v>0</v>
      </c>
      <c r="G72">
        <v>0</v>
      </c>
      <c r="J72">
        <v>0</v>
      </c>
      <c r="K72">
        <v>0</v>
      </c>
      <c r="L72">
        <v>0</v>
      </c>
    </row>
    <row r="73" spans="1:26" ht="15" customHeight="1">
      <c r="A73">
        <f t="shared" si="0"/>
        <v>5</v>
      </c>
      <c r="B73">
        <v>0</v>
      </c>
      <c r="C73">
        <v>0</v>
      </c>
      <c r="E73">
        <v>0</v>
      </c>
      <c r="F73">
        <v>0</v>
      </c>
      <c r="G73">
        <v>0</v>
      </c>
      <c r="J73">
        <v>0</v>
      </c>
      <c r="K73">
        <v>0</v>
      </c>
      <c r="L73">
        <v>0</v>
      </c>
    </row>
    <row r="74" spans="1:26" ht="24" customHeight="1">
      <c r="A74">
        <f t="shared" si="0"/>
        <v>6</v>
      </c>
      <c r="B74">
        <v>0</v>
      </c>
      <c r="C74">
        <v>0</v>
      </c>
      <c r="E74">
        <v>0</v>
      </c>
      <c r="F74">
        <v>0</v>
      </c>
      <c r="G74">
        <v>0</v>
      </c>
      <c r="J74">
        <v>0</v>
      </c>
      <c r="K74">
        <v>0</v>
      </c>
      <c r="L74">
        <v>0</v>
      </c>
    </row>
    <row r="75" spans="1:26" ht="15" customHeight="1">
      <c r="A75">
        <f t="shared" si="0"/>
        <v>7</v>
      </c>
      <c r="B75">
        <v>0.11</v>
      </c>
      <c r="C75">
        <v>0.11</v>
      </c>
      <c r="E75">
        <v>0.1</v>
      </c>
      <c r="F75">
        <v>0.1</v>
      </c>
      <c r="G75">
        <v>0.05</v>
      </c>
      <c r="J75">
        <v>0.1</v>
      </c>
      <c r="K75">
        <v>0.1</v>
      </c>
      <c r="L75">
        <v>0.05</v>
      </c>
    </row>
    <row r="76" spans="1:26" ht="15" customHeight="1">
      <c r="A76">
        <f t="shared" si="0"/>
        <v>8</v>
      </c>
      <c r="B76">
        <v>0.21</v>
      </c>
      <c r="C76">
        <v>0.21</v>
      </c>
      <c r="E76">
        <v>0.2</v>
      </c>
      <c r="F76">
        <v>0.1</v>
      </c>
      <c r="G76">
        <v>0.05</v>
      </c>
      <c r="J76">
        <v>0.2</v>
      </c>
      <c r="K76">
        <v>0.1</v>
      </c>
      <c r="L76">
        <v>0.05</v>
      </c>
    </row>
    <row r="77" spans="1:26" ht="15" customHeight="1">
      <c r="A77">
        <f t="shared" si="0"/>
        <v>9</v>
      </c>
      <c r="B77">
        <v>1</v>
      </c>
      <c r="C77">
        <v>1</v>
      </c>
      <c r="E77">
        <v>0.95</v>
      </c>
      <c r="F77">
        <v>0.3</v>
      </c>
      <c r="G77">
        <v>0.05</v>
      </c>
      <c r="J77">
        <v>0.95</v>
      </c>
      <c r="K77">
        <v>0.3</v>
      </c>
      <c r="L77">
        <v>0.05</v>
      </c>
    </row>
    <row r="78" spans="1:26" ht="15" customHeight="1">
      <c r="A78">
        <f t="shared" si="0"/>
        <v>10</v>
      </c>
      <c r="B78">
        <v>1</v>
      </c>
      <c r="C78">
        <v>1</v>
      </c>
      <c r="E78">
        <v>0.95</v>
      </c>
      <c r="F78">
        <v>0.3</v>
      </c>
      <c r="G78">
        <v>0.05</v>
      </c>
      <c r="J78">
        <v>0.95</v>
      </c>
      <c r="K78">
        <v>0.3</v>
      </c>
      <c r="L78">
        <v>0.05</v>
      </c>
    </row>
    <row r="79" spans="1:26" ht="15" customHeight="1">
      <c r="A79">
        <f t="shared" si="0"/>
        <v>11</v>
      </c>
      <c r="B79">
        <v>1</v>
      </c>
      <c r="C79">
        <v>0</v>
      </c>
      <c r="E79">
        <v>0.95</v>
      </c>
      <c r="F79">
        <v>0.3</v>
      </c>
      <c r="G79">
        <v>0.05</v>
      </c>
      <c r="J79">
        <v>0.95</v>
      </c>
      <c r="K79">
        <v>0.3</v>
      </c>
      <c r="L79">
        <v>0.05</v>
      </c>
    </row>
    <row r="80" spans="1:26" ht="15" customHeight="1">
      <c r="A80">
        <f t="shared" si="0"/>
        <v>12</v>
      </c>
      <c r="B80">
        <v>1</v>
      </c>
      <c r="C80">
        <v>1</v>
      </c>
      <c r="E80">
        <v>0.95</v>
      </c>
      <c r="F80">
        <v>0.3</v>
      </c>
      <c r="G80">
        <v>0.05</v>
      </c>
      <c r="J80">
        <v>0.95</v>
      </c>
      <c r="K80">
        <v>0.3</v>
      </c>
      <c r="L80">
        <v>0.05</v>
      </c>
    </row>
    <row r="81" spans="1:13" ht="15" customHeight="1">
      <c r="A81">
        <f t="shared" si="0"/>
        <v>13</v>
      </c>
      <c r="B81">
        <v>1</v>
      </c>
      <c r="C81">
        <v>0</v>
      </c>
      <c r="E81">
        <v>0.5</v>
      </c>
      <c r="F81">
        <v>0.1</v>
      </c>
      <c r="G81">
        <v>0.05</v>
      </c>
      <c r="J81">
        <v>0.5</v>
      </c>
      <c r="K81">
        <v>0.1</v>
      </c>
      <c r="L81">
        <v>0.05</v>
      </c>
    </row>
    <row r="82" spans="1:13" ht="15" customHeight="1">
      <c r="A82">
        <f t="shared" si="0"/>
        <v>14</v>
      </c>
      <c r="B82">
        <v>0.61</v>
      </c>
      <c r="C82">
        <v>1</v>
      </c>
      <c r="E82">
        <v>0.95</v>
      </c>
      <c r="F82">
        <v>0.1</v>
      </c>
      <c r="G82">
        <v>0.05</v>
      </c>
      <c r="J82">
        <v>0.95</v>
      </c>
      <c r="K82">
        <v>0.1</v>
      </c>
      <c r="L82">
        <v>0.05</v>
      </c>
    </row>
    <row r="83" spans="1:13" ht="15" customHeight="1">
      <c r="A83">
        <f t="shared" si="0"/>
        <v>15</v>
      </c>
      <c r="B83">
        <v>1</v>
      </c>
      <c r="C83">
        <v>0</v>
      </c>
      <c r="E83">
        <v>0.95</v>
      </c>
      <c r="F83">
        <v>0.1</v>
      </c>
      <c r="G83">
        <v>0.05</v>
      </c>
      <c r="J83">
        <v>0.95</v>
      </c>
      <c r="K83">
        <v>0.1</v>
      </c>
      <c r="L83">
        <v>0.05</v>
      </c>
    </row>
    <row r="84" spans="1:13" ht="15" customHeight="1">
      <c r="A84">
        <f t="shared" si="0"/>
        <v>16</v>
      </c>
      <c r="B84">
        <v>1</v>
      </c>
      <c r="C84">
        <v>1</v>
      </c>
      <c r="E84">
        <v>0.95</v>
      </c>
      <c r="F84">
        <v>0.1</v>
      </c>
      <c r="G84">
        <v>0.05</v>
      </c>
      <c r="J84">
        <v>0.95</v>
      </c>
      <c r="K84">
        <v>0.1</v>
      </c>
      <c r="L84">
        <v>0.05</v>
      </c>
    </row>
    <row r="85" spans="1:13" ht="15" customHeight="1">
      <c r="A85">
        <f t="shared" si="0"/>
        <v>17</v>
      </c>
      <c r="B85">
        <v>1</v>
      </c>
      <c r="C85">
        <v>1</v>
      </c>
      <c r="E85">
        <v>0.95</v>
      </c>
      <c r="F85">
        <v>0.1</v>
      </c>
      <c r="G85">
        <v>0.05</v>
      </c>
      <c r="J85">
        <v>0.95</v>
      </c>
      <c r="K85">
        <v>0.1</v>
      </c>
      <c r="L85">
        <v>0.05</v>
      </c>
    </row>
    <row r="86" spans="1:13" ht="15" customHeight="1">
      <c r="A86">
        <f t="shared" si="0"/>
        <v>18</v>
      </c>
      <c r="B86">
        <v>1</v>
      </c>
      <c r="C86">
        <v>0.32</v>
      </c>
      <c r="E86">
        <v>0.3</v>
      </c>
      <c r="F86">
        <v>0.05</v>
      </c>
      <c r="G86">
        <v>0.05</v>
      </c>
      <c r="J86">
        <v>0.3</v>
      </c>
      <c r="K86">
        <v>0.05</v>
      </c>
      <c r="L86">
        <v>0.05</v>
      </c>
    </row>
    <row r="87" spans="1:13" ht="15" customHeight="1">
      <c r="A87">
        <f t="shared" si="0"/>
        <v>19</v>
      </c>
      <c r="B87">
        <v>0.32</v>
      </c>
      <c r="C87">
        <v>0.11</v>
      </c>
      <c r="E87">
        <v>0.1</v>
      </c>
      <c r="F87">
        <v>0.05</v>
      </c>
      <c r="G87">
        <v>0</v>
      </c>
      <c r="J87">
        <v>0.1</v>
      </c>
      <c r="K87">
        <v>0.05</v>
      </c>
      <c r="L87">
        <v>0</v>
      </c>
    </row>
    <row r="88" spans="1:13" ht="15" customHeight="1">
      <c r="A88">
        <f t="shared" si="0"/>
        <v>20</v>
      </c>
      <c r="B88">
        <v>0.11</v>
      </c>
      <c r="C88">
        <v>0.11</v>
      </c>
      <c r="E88">
        <v>0.1</v>
      </c>
      <c r="F88">
        <v>0</v>
      </c>
      <c r="G88">
        <v>0</v>
      </c>
      <c r="J88">
        <v>0.1</v>
      </c>
      <c r="K88">
        <v>0</v>
      </c>
      <c r="L88">
        <v>0</v>
      </c>
    </row>
    <row r="89" spans="1:13" ht="15" customHeight="1">
      <c r="A89">
        <f t="shared" si="0"/>
        <v>21</v>
      </c>
      <c r="B89">
        <v>0.11</v>
      </c>
      <c r="C89">
        <v>0.11</v>
      </c>
      <c r="E89">
        <v>0.1</v>
      </c>
      <c r="F89">
        <v>0</v>
      </c>
      <c r="G89">
        <v>0</v>
      </c>
      <c r="J89">
        <v>0.1</v>
      </c>
      <c r="K89">
        <v>0</v>
      </c>
      <c r="L89">
        <v>0</v>
      </c>
    </row>
    <row r="90" spans="1:13" ht="15" customHeight="1">
      <c r="A90">
        <f t="shared" si="0"/>
        <v>22</v>
      </c>
      <c r="B90">
        <v>0.11</v>
      </c>
      <c r="C90">
        <v>0.11</v>
      </c>
      <c r="E90">
        <v>0.1</v>
      </c>
      <c r="F90">
        <v>0</v>
      </c>
      <c r="G90">
        <v>0</v>
      </c>
      <c r="J90">
        <v>0.1</v>
      </c>
      <c r="K90">
        <v>0</v>
      </c>
      <c r="L90">
        <v>0</v>
      </c>
    </row>
    <row r="91" spans="1:13" ht="15" customHeight="1">
      <c r="A91">
        <f t="shared" si="0"/>
        <v>23</v>
      </c>
      <c r="B91">
        <v>0.05</v>
      </c>
      <c r="C91">
        <v>0.05</v>
      </c>
      <c r="E91">
        <v>0.05</v>
      </c>
      <c r="F91">
        <v>0</v>
      </c>
      <c r="G91">
        <v>0</v>
      </c>
      <c r="J91">
        <v>0.05</v>
      </c>
      <c r="K91">
        <v>0</v>
      </c>
      <c r="L91">
        <v>0</v>
      </c>
    </row>
    <row r="92" spans="1:13" ht="15" customHeight="1">
      <c r="A92">
        <f t="shared" si="0"/>
        <v>24</v>
      </c>
      <c r="B92">
        <v>0</v>
      </c>
      <c r="C92">
        <v>0</v>
      </c>
      <c r="E92">
        <v>0.05</v>
      </c>
      <c r="F92">
        <v>0</v>
      </c>
      <c r="G92">
        <v>0</v>
      </c>
      <c r="J92">
        <v>0</v>
      </c>
      <c r="K92">
        <v>0</v>
      </c>
      <c r="L92">
        <v>0</v>
      </c>
    </row>
    <row r="93" spans="1:13" ht="15" customHeight="1">
      <c r="B93">
        <f>SUM(B69:B92)</f>
        <v>10.629999999999999</v>
      </c>
      <c r="C93">
        <f>SUM(C69:C92)</f>
        <v>7.1300000000000017</v>
      </c>
      <c r="E93">
        <f>SUM(E69:E92)</f>
        <v>9.2000000000000011</v>
      </c>
      <c r="F93">
        <f>SUM(F69:F92)</f>
        <v>2.0000000000000004</v>
      </c>
      <c r="G93">
        <f>SUM(G69:G92)</f>
        <v>0.6</v>
      </c>
      <c r="J93">
        <f>SUM(J69:J92)</f>
        <v>9.15</v>
      </c>
      <c r="K93">
        <f>SUM(K69:K92)</f>
        <v>2.0000000000000004</v>
      </c>
      <c r="L93">
        <f>SUM(L69:L92)</f>
        <v>0.6</v>
      </c>
    </row>
    <row r="94" spans="1:13" ht="15" customHeight="1">
      <c r="B94" t="s">
        <v>423</v>
      </c>
      <c r="C94">
        <v>17</v>
      </c>
      <c r="E94" t="s">
        <v>424</v>
      </c>
      <c r="F94">
        <f>13</f>
        <v>13</v>
      </c>
      <c r="G94" t="s">
        <v>424</v>
      </c>
      <c r="J94" s="138"/>
      <c r="K94" s="138"/>
      <c r="L94" s="138"/>
      <c r="M94" s="138"/>
    </row>
    <row r="95" spans="1:13" ht="15" customHeight="1">
      <c r="J95" s="138"/>
      <c r="K95" s="138"/>
      <c r="L95" s="138"/>
      <c r="M95" s="138"/>
    </row>
    <row r="96" spans="1:13" ht="15" customHeight="1">
      <c r="J96" s="138"/>
      <c r="K96" s="138"/>
      <c r="L96" s="138"/>
      <c r="M96" s="138"/>
    </row>
    <row r="97" spans="1:52" ht="15" customHeight="1">
      <c r="J97" s="138"/>
      <c r="K97" s="138"/>
      <c r="L97" s="138"/>
      <c r="M97" s="138"/>
    </row>
    <row r="99" spans="1:52" s="95" customFormat="1" ht="24">
      <c r="A99" s="94" t="s">
        <v>425</v>
      </c>
    </row>
    <row r="100" spans="1:52" s="100" customFormat="1" ht="24">
      <c r="A100" s="99"/>
    </row>
    <row r="101" spans="1:52">
      <c r="B101" s="88" t="s">
        <v>426</v>
      </c>
      <c r="C101" s="88"/>
    </row>
    <row r="102" spans="1:52">
      <c r="B102" t="s">
        <v>427</v>
      </c>
      <c r="E102" t="s">
        <v>427</v>
      </c>
      <c r="K102" t="s">
        <v>427</v>
      </c>
      <c r="Q102" t="s">
        <v>427</v>
      </c>
      <c r="W102" t="s">
        <v>427</v>
      </c>
      <c r="AC102" t="s">
        <v>427</v>
      </c>
      <c r="AH102" t="s">
        <v>427</v>
      </c>
      <c r="AN102" t="s">
        <v>427</v>
      </c>
      <c r="AT102" t="s">
        <v>427</v>
      </c>
      <c r="AZ102" t="s">
        <v>427</v>
      </c>
    </row>
    <row r="103" spans="1:52">
      <c r="B103" s="107" t="s">
        <v>428</v>
      </c>
      <c r="E103" s="107" t="s">
        <v>429</v>
      </c>
      <c r="K103" t="s">
        <v>430</v>
      </c>
      <c r="Q103" t="s">
        <v>431</v>
      </c>
      <c r="W103" t="s">
        <v>432</v>
      </c>
      <c r="AC103" t="s">
        <v>433</v>
      </c>
      <c r="AH103" t="s">
        <v>434</v>
      </c>
      <c r="AN103" t="s">
        <v>435</v>
      </c>
      <c r="AT103" t="s">
        <v>436</v>
      </c>
      <c r="AZ103" t="s">
        <v>437</v>
      </c>
    </row>
    <row r="104" spans="1:52">
      <c r="B104" t="s">
        <v>438</v>
      </c>
      <c r="E104" t="s">
        <v>438</v>
      </c>
      <c r="K104" t="s">
        <v>438</v>
      </c>
      <c r="Q104" t="s">
        <v>438</v>
      </c>
      <c r="W104" t="s">
        <v>438</v>
      </c>
      <c r="AC104" t="s">
        <v>438</v>
      </c>
      <c r="AH104" t="s">
        <v>438</v>
      </c>
      <c r="AN104" t="s">
        <v>438</v>
      </c>
      <c r="AT104" t="s">
        <v>438</v>
      </c>
      <c r="AZ104" t="s">
        <v>438</v>
      </c>
    </row>
    <row r="105" spans="1:52">
      <c r="B105" t="s">
        <v>439</v>
      </c>
      <c r="E105" t="s">
        <v>439</v>
      </c>
      <c r="K105" t="s">
        <v>439</v>
      </c>
      <c r="Q105" t="s">
        <v>439</v>
      </c>
      <c r="W105" t="s">
        <v>439</v>
      </c>
      <c r="AC105" t="s">
        <v>439</v>
      </c>
      <c r="AH105" t="s">
        <v>439</v>
      </c>
      <c r="AN105" t="s">
        <v>439</v>
      </c>
      <c r="AT105" t="s">
        <v>439</v>
      </c>
      <c r="AZ105" t="s">
        <v>439</v>
      </c>
    </row>
    <row r="106" spans="1:52">
      <c r="B106" t="s">
        <v>440</v>
      </c>
      <c r="E106" t="s">
        <v>440</v>
      </c>
      <c r="K106" t="s">
        <v>440</v>
      </c>
      <c r="Q106" t="s">
        <v>440</v>
      </c>
      <c r="W106" t="s">
        <v>440</v>
      </c>
      <c r="AC106" t="s">
        <v>440</v>
      </c>
      <c r="AH106" t="s">
        <v>440</v>
      </c>
      <c r="AN106" t="s">
        <v>440</v>
      </c>
      <c r="AT106" t="s">
        <v>440</v>
      </c>
      <c r="AZ106" t="s">
        <v>440</v>
      </c>
    </row>
    <row r="107" spans="1:52">
      <c r="B107" t="s">
        <v>441</v>
      </c>
      <c r="E107" t="s">
        <v>441</v>
      </c>
      <c r="K107" t="s">
        <v>441</v>
      </c>
      <c r="N107">
        <v>0</v>
      </c>
      <c r="O107">
        <v>0</v>
      </c>
      <c r="Q107" t="s">
        <v>441</v>
      </c>
      <c r="W107" t="s">
        <v>441</v>
      </c>
      <c r="AC107" t="s">
        <v>441</v>
      </c>
      <c r="AH107" t="s">
        <v>441</v>
      </c>
      <c r="AN107" t="s">
        <v>441</v>
      </c>
      <c r="AT107" t="s">
        <v>441</v>
      </c>
      <c r="AZ107" t="s">
        <v>441</v>
      </c>
    </row>
    <row r="108" spans="1:52">
      <c r="B108" t="s">
        <v>442</v>
      </c>
      <c r="E108" t="s">
        <v>442</v>
      </c>
      <c r="K108" t="s">
        <v>442</v>
      </c>
      <c r="N108">
        <v>0</v>
      </c>
      <c r="O108">
        <v>0</v>
      </c>
      <c r="Q108" t="s">
        <v>442</v>
      </c>
      <c r="W108" t="s">
        <v>442</v>
      </c>
      <c r="AC108" t="s">
        <v>442</v>
      </c>
      <c r="AH108" t="s">
        <v>442</v>
      </c>
      <c r="AN108" t="s">
        <v>442</v>
      </c>
      <c r="AT108" t="s">
        <v>442</v>
      </c>
      <c r="AZ108" t="s">
        <v>442</v>
      </c>
    </row>
    <row r="109" spans="1:52">
      <c r="B109" t="s">
        <v>443</v>
      </c>
      <c r="E109" t="s">
        <v>443</v>
      </c>
      <c r="K109" t="s">
        <v>443</v>
      </c>
      <c r="N109">
        <v>0</v>
      </c>
      <c r="O109">
        <v>0</v>
      </c>
      <c r="Q109" t="s">
        <v>443</v>
      </c>
      <c r="W109" t="s">
        <v>443</v>
      </c>
      <c r="AC109" t="s">
        <v>443</v>
      </c>
      <c r="AH109" t="s">
        <v>443</v>
      </c>
      <c r="AN109" t="s">
        <v>443</v>
      </c>
      <c r="AT109" t="s">
        <v>443</v>
      </c>
      <c r="AZ109" t="s">
        <v>443</v>
      </c>
    </row>
    <row r="110" spans="1:52">
      <c r="B110" t="s">
        <v>444</v>
      </c>
      <c r="E110" t="s">
        <v>444</v>
      </c>
      <c r="K110" t="s">
        <v>444</v>
      </c>
      <c r="N110">
        <v>0</v>
      </c>
      <c r="O110">
        <v>0</v>
      </c>
      <c r="Q110" t="s">
        <v>444</v>
      </c>
      <c r="W110" t="s">
        <v>444</v>
      </c>
      <c r="AC110" t="s">
        <v>444</v>
      </c>
      <c r="AH110" t="s">
        <v>444</v>
      </c>
      <c r="AN110" t="s">
        <v>444</v>
      </c>
      <c r="AT110" t="s">
        <v>444</v>
      </c>
      <c r="AZ110" t="s">
        <v>444</v>
      </c>
    </row>
    <row r="111" spans="1:52">
      <c r="B111" t="s">
        <v>445</v>
      </c>
      <c r="E111" t="s">
        <v>445</v>
      </c>
      <c r="K111" t="s">
        <v>445</v>
      </c>
      <c r="N111">
        <v>0</v>
      </c>
      <c r="O111">
        <v>0</v>
      </c>
      <c r="Q111" t="s">
        <v>445</v>
      </c>
      <c r="W111" t="s">
        <v>445</v>
      </c>
      <c r="AC111" t="s">
        <v>445</v>
      </c>
      <c r="AH111" t="s">
        <v>445</v>
      </c>
      <c r="AN111" t="s">
        <v>445</v>
      </c>
      <c r="AT111" t="s">
        <v>445</v>
      </c>
      <c r="AZ111" t="s">
        <v>445</v>
      </c>
    </row>
    <row r="112" spans="1:52">
      <c r="B112" t="s">
        <v>446</v>
      </c>
      <c r="E112" t="s">
        <v>446</v>
      </c>
      <c r="K112" t="s">
        <v>446</v>
      </c>
      <c r="N112">
        <v>0</v>
      </c>
      <c r="O112">
        <v>0</v>
      </c>
      <c r="Q112" t="s">
        <v>446</v>
      </c>
      <c r="W112" t="s">
        <v>446</v>
      </c>
      <c r="AC112" t="s">
        <v>446</v>
      </c>
      <c r="AH112" t="s">
        <v>446</v>
      </c>
      <c r="AN112" t="s">
        <v>446</v>
      </c>
      <c r="AT112" t="s">
        <v>446</v>
      </c>
      <c r="AZ112" t="s">
        <v>446</v>
      </c>
    </row>
    <row r="113" spans="2:52">
      <c r="B113" t="s">
        <v>447</v>
      </c>
      <c r="E113" t="s">
        <v>447</v>
      </c>
      <c r="K113" t="s">
        <v>447</v>
      </c>
      <c r="N113">
        <v>0.1</v>
      </c>
      <c r="O113">
        <v>0.1</v>
      </c>
      <c r="Q113" t="s">
        <v>447</v>
      </c>
      <c r="W113" t="s">
        <v>447</v>
      </c>
      <c r="AC113" t="s">
        <v>447</v>
      </c>
      <c r="AH113" t="s">
        <v>447</v>
      </c>
      <c r="AN113" t="s">
        <v>447</v>
      </c>
      <c r="AT113" t="s">
        <v>447</v>
      </c>
      <c r="AZ113" t="s">
        <v>447</v>
      </c>
    </row>
    <row r="114" spans="2:52">
      <c r="B114" t="s">
        <v>448</v>
      </c>
      <c r="E114" t="s">
        <v>448</v>
      </c>
      <c r="K114" t="s">
        <v>448</v>
      </c>
      <c r="N114">
        <v>0.2</v>
      </c>
      <c r="O114">
        <v>0.1</v>
      </c>
      <c r="Q114" t="s">
        <v>448</v>
      </c>
      <c r="W114" t="s">
        <v>448</v>
      </c>
      <c r="AC114" t="s">
        <v>448</v>
      </c>
      <c r="AH114" t="s">
        <v>448</v>
      </c>
      <c r="AN114" t="s">
        <v>448</v>
      </c>
      <c r="AT114" t="s">
        <v>448</v>
      </c>
      <c r="AZ114" t="s">
        <v>448</v>
      </c>
    </row>
    <row r="115" spans="2:52">
      <c r="B115" t="s">
        <v>449</v>
      </c>
      <c r="E115" t="s">
        <v>449</v>
      </c>
      <c r="K115" t="s">
        <v>449</v>
      </c>
      <c r="N115">
        <v>0.95</v>
      </c>
      <c r="O115">
        <v>0.3</v>
      </c>
      <c r="Q115" t="s">
        <v>449</v>
      </c>
      <c r="W115" t="s">
        <v>449</v>
      </c>
      <c r="AC115" t="s">
        <v>449</v>
      </c>
      <c r="AH115" t="s">
        <v>449</v>
      </c>
      <c r="AN115" t="s">
        <v>449</v>
      </c>
      <c r="AT115" t="s">
        <v>449</v>
      </c>
      <c r="AZ115" t="s">
        <v>449</v>
      </c>
    </row>
    <row r="116" spans="2:52">
      <c r="B116" t="s">
        <v>450</v>
      </c>
      <c r="E116" t="s">
        <v>450</v>
      </c>
      <c r="K116" t="s">
        <v>450</v>
      </c>
      <c r="N116">
        <v>0.95</v>
      </c>
      <c r="O116">
        <v>0.3</v>
      </c>
      <c r="Q116" t="s">
        <v>450</v>
      </c>
      <c r="W116" t="s">
        <v>450</v>
      </c>
      <c r="AC116" t="s">
        <v>450</v>
      </c>
      <c r="AH116" t="s">
        <v>450</v>
      </c>
      <c r="AN116" t="s">
        <v>450</v>
      </c>
      <c r="AT116" t="s">
        <v>450</v>
      </c>
      <c r="AZ116" t="s">
        <v>450</v>
      </c>
    </row>
    <row r="117" spans="2:52">
      <c r="B117" t="s">
        <v>451</v>
      </c>
      <c r="E117" t="s">
        <v>451</v>
      </c>
      <c r="K117" t="s">
        <v>451</v>
      </c>
      <c r="N117">
        <v>0.95</v>
      </c>
      <c r="O117">
        <v>0.3</v>
      </c>
      <c r="Q117" t="s">
        <v>451</v>
      </c>
      <c r="W117" t="s">
        <v>451</v>
      </c>
      <c r="AC117" t="s">
        <v>451</v>
      </c>
      <c r="AH117" t="s">
        <v>451</v>
      </c>
      <c r="AN117" t="s">
        <v>451</v>
      </c>
      <c r="AT117" t="s">
        <v>451</v>
      </c>
      <c r="AZ117" t="s">
        <v>451</v>
      </c>
    </row>
    <row r="118" spans="2:52">
      <c r="B118" t="s">
        <v>452</v>
      </c>
      <c r="E118" t="s">
        <v>452</v>
      </c>
      <c r="K118" t="s">
        <v>452</v>
      </c>
      <c r="N118">
        <v>0.95</v>
      </c>
      <c r="O118">
        <v>0.3</v>
      </c>
      <c r="Q118" t="s">
        <v>452</v>
      </c>
      <c r="W118" t="s">
        <v>452</v>
      </c>
      <c r="AC118" t="s">
        <v>452</v>
      </c>
      <c r="AH118" t="s">
        <v>452</v>
      </c>
      <c r="AN118" t="s">
        <v>452</v>
      </c>
      <c r="AT118" t="s">
        <v>452</v>
      </c>
      <c r="AZ118" t="s">
        <v>452</v>
      </c>
    </row>
    <row r="119" spans="2:52">
      <c r="B119" t="s">
        <v>453</v>
      </c>
      <c r="E119" t="s">
        <v>453</v>
      </c>
      <c r="K119" t="s">
        <v>453</v>
      </c>
      <c r="N119">
        <v>0.5</v>
      </c>
      <c r="O119">
        <v>0.1</v>
      </c>
      <c r="Q119" t="s">
        <v>453</v>
      </c>
      <c r="W119" t="s">
        <v>453</v>
      </c>
      <c r="AC119" t="s">
        <v>453</v>
      </c>
      <c r="AH119" t="s">
        <v>453</v>
      </c>
      <c r="AN119" t="s">
        <v>453</v>
      </c>
      <c r="AT119" t="s">
        <v>453</v>
      </c>
      <c r="AZ119" t="s">
        <v>453</v>
      </c>
    </row>
    <row r="120" spans="2:52">
      <c r="B120" t="s">
        <v>454</v>
      </c>
      <c r="E120" t="s">
        <v>454</v>
      </c>
      <c r="K120" t="s">
        <v>454</v>
      </c>
      <c r="N120">
        <v>0.95</v>
      </c>
      <c r="O120">
        <v>0.1</v>
      </c>
      <c r="Q120" t="s">
        <v>454</v>
      </c>
      <c r="W120" t="s">
        <v>454</v>
      </c>
      <c r="AC120" t="s">
        <v>454</v>
      </c>
      <c r="AH120" t="s">
        <v>454</v>
      </c>
      <c r="AN120" t="s">
        <v>454</v>
      </c>
      <c r="AT120" t="s">
        <v>454</v>
      </c>
      <c r="AZ120" t="s">
        <v>454</v>
      </c>
    </row>
    <row r="121" spans="2:52">
      <c r="B121" t="s">
        <v>455</v>
      </c>
      <c r="E121" t="s">
        <v>455</v>
      </c>
      <c r="K121" t="s">
        <v>455</v>
      </c>
      <c r="N121">
        <v>0.95</v>
      </c>
      <c r="O121">
        <v>0.1</v>
      </c>
      <c r="Q121" t="s">
        <v>455</v>
      </c>
      <c r="W121" t="s">
        <v>455</v>
      </c>
      <c r="AC121" t="s">
        <v>455</v>
      </c>
      <c r="AH121" t="s">
        <v>455</v>
      </c>
      <c r="AN121" t="s">
        <v>455</v>
      </c>
      <c r="AT121" t="s">
        <v>455</v>
      </c>
      <c r="AZ121" t="s">
        <v>455</v>
      </c>
    </row>
    <row r="122" spans="2:52">
      <c r="B122" t="s">
        <v>456</v>
      </c>
      <c r="E122" t="s">
        <v>456</v>
      </c>
      <c r="K122" t="s">
        <v>456</v>
      </c>
      <c r="N122">
        <v>0.95</v>
      </c>
      <c r="O122">
        <v>0.1</v>
      </c>
      <c r="Q122" t="s">
        <v>456</v>
      </c>
      <c r="W122" t="s">
        <v>456</v>
      </c>
      <c r="AC122" t="s">
        <v>456</v>
      </c>
      <c r="AH122" t="s">
        <v>456</v>
      </c>
      <c r="AN122" t="s">
        <v>456</v>
      </c>
      <c r="AT122" t="s">
        <v>456</v>
      </c>
      <c r="AZ122" t="s">
        <v>456</v>
      </c>
    </row>
    <row r="123" spans="2:52">
      <c r="B123" t="s">
        <v>457</v>
      </c>
      <c r="E123" t="s">
        <v>457</v>
      </c>
      <c r="K123" t="s">
        <v>457</v>
      </c>
      <c r="N123">
        <v>0.95</v>
      </c>
      <c r="O123">
        <v>0.1</v>
      </c>
      <c r="Q123" t="s">
        <v>457</v>
      </c>
      <c r="W123" t="s">
        <v>457</v>
      </c>
      <c r="AC123" t="s">
        <v>457</v>
      </c>
      <c r="AH123" t="s">
        <v>457</v>
      </c>
      <c r="AN123" t="s">
        <v>457</v>
      </c>
      <c r="AT123" t="s">
        <v>457</v>
      </c>
      <c r="AZ123" t="s">
        <v>457</v>
      </c>
    </row>
    <row r="124" spans="2:52">
      <c r="B124" t="s">
        <v>458</v>
      </c>
      <c r="E124" t="s">
        <v>458</v>
      </c>
      <c r="K124" t="s">
        <v>458</v>
      </c>
      <c r="N124">
        <v>0.3</v>
      </c>
      <c r="O124">
        <v>0.5</v>
      </c>
      <c r="Q124" t="s">
        <v>458</v>
      </c>
      <c r="W124" t="s">
        <v>458</v>
      </c>
      <c r="AC124" t="s">
        <v>458</v>
      </c>
      <c r="AH124" t="s">
        <v>458</v>
      </c>
      <c r="AN124" t="s">
        <v>458</v>
      </c>
      <c r="AT124" t="s">
        <v>458</v>
      </c>
      <c r="AZ124" t="s">
        <v>458</v>
      </c>
    </row>
    <row r="125" spans="2:52">
      <c r="B125" t="s">
        <v>459</v>
      </c>
      <c r="E125" t="s">
        <v>459</v>
      </c>
      <c r="K125" t="s">
        <v>459</v>
      </c>
      <c r="N125">
        <v>0.1</v>
      </c>
      <c r="O125">
        <v>0.5</v>
      </c>
      <c r="Q125" t="s">
        <v>459</v>
      </c>
      <c r="W125" t="s">
        <v>459</v>
      </c>
      <c r="AC125" t="s">
        <v>459</v>
      </c>
      <c r="AH125" t="s">
        <v>459</v>
      </c>
      <c r="AN125" t="s">
        <v>459</v>
      </c>
      <c r="AT125" t="s">
        <v>459</v>
      </c>
      <c r="AZ125" t="s">
        <v>459</v>
      </c>
    </row>
    <row r="126" spans="2:52">
      <c r="B126" t="s">
        <v>460</v>
      </c>
      <c r="E126" t="s">
        <v>460</v>
      </c>
      <c r="K126" t="s">
        <v>460</v>
      </c>
      <c r="N126">
        <v>0.1</v>
      </c>
      <c r="O126">
        <v>0</v>
      </c>
      <c r="Q126" t="s">
        <v>460</v>
      </c>
      <c r="W126" t="s">
        <v>460</v>
      </c>
      <c r="AC126" t="s">
        <v>460</v>
      </c>
      <c r="AH126" t="s">
        <v>460</v>
      </c>
      <c r="AN126" t="s">
        <v>460</v>
      </c>
      <c r="AT126" t="s">
        <v>460</v>
      </c>
      <c r="AZ126" t="s">
        <v>460</v>
      </c>
    </row>
    <row r="127" spans="2:52">
      <c r="B127" t="s">
        <v>461</v>
      </c>
      <c r="E127" t="s">
        <v>461</v>
      </c>
      <c r="K127" t="s">
        <v>461</v>
      </c>
      <c r="N127">
        <v>0.1</v>
      </c>
      <c r="O127">
        <v>0</v>
      </c>
      <c r="Q127" t="s">
        <v>461</v>
      </c>
      <c r="W127" t="s">
        <v>461</v>
      </c>
      <c r="AC127" t="s">
        <v>461</v>
      </c>
      <c r="AH127" t="s">
        <v>461</v>
      </c>
      <c r="AN127" t="s">
        <v>461</v>
      </c>
      <c r="AT127" t="s">
        <v>461</v>
      </c>
      <c r="AZ127" t="s">
        <v>461</v>
      </c>
    </row>
    <row r="128" spans="2:52">
      <c r="B128" t="s">
        <v>462</v>
      </c>
      <c r="E128" t="s">
        <v>462</v>
      </c>
      <c r="K128" t="s">
        <v>462</v>
      </c>
      <c r="N128">
        <v>0.1</v>
      </c>
      <c r="O128">
        <v>0</v>
      </c>
      <c r="Q128" t="s">
        <v>462</v>
      </c>
      <c r="W128" t="s">
        <v>462</v>
      </c>
      <c r="AC128" t="s">
        <v>462</v>
      </c>
      <c r="AH128" t="s">
        <v>462</v>
      </c>
      <c r="AN128" t="s">
        <v>462</v>
      </c>
      <c r="AT128" t="s">
        <v>462</v>
      </c>
      <c r="AZ128" t="s">
        <v>462</v>
      </c>
    </row>
    <row r="129" spans="1:52">
      <c r="B129" t="s">
        <v>463</v>
      </c>
      <c r="E129" t="s">
        <v>463</v>
      </c>
      <c r="K129" t="s">
        <v>463</v>
      </c>
      <c r="N129">
        <v>0.05</v>
      </c>
      <c r="O129">
        <v>0</v>
      </c>
      <c r="Q129" t="s">
        <v>463</v>
      </c>
      <c r="W129" t="s">
        <v>463</v>
      </c>
      <c r="AC129" t="s">
        <v>463</v>
      </c>
      <c r="AH129" t="s">
        <v>463</v>
      </c>
      <c r="AN129" t="s">
        <v>463</v>
      </c>
      <c r="AT129" t="s">
        <v>463</v>
      </c>
      <c r="AZ129" t="s">
        <v>463</v>
      </c>
    </row>
    <row r="130" spans="1:52">
      <c r="B130" t="s">
        <v>464</v>
      </c>
      <c r="E130" t="s">
        <v>464</v>
      </c>
      <c r="K130" t="s">
        <v>464</v>
      </c>
      <c r="N130">
        <v>0.05</v>
      </c>
      <c r="O130">
        <v>0</v>
      </c>
      <c r="Q130" t="s">
        <v>464</v>
      </c>
      <c r="W130" t="s">
        <v>464</v>
      </c>
      <c r="AC130" t="s">
        <v>464</v>
      </c>
      <c r="AH130" t="s">
        <v>464</v>
      </c>
      <c r="AN130" t="s">
        <v>464</v>
      </c>
      <c r="AT130" t="s">
        <v>464</v>
      </c>
      <c r="AZ130" t="s">
        <v>464</v>
      </c>
    </row>
    <row r="133" spans="1:52" s="95" customFormat="1" ht="24">
      <c r="A133" s="94" t="s">
        <v>465</v>
      </c>
    </row>
    <row r="134" spans="1:52" s="100" customFormat="1" ht="24">
      <c r="A134" s="99"/>
    </row>
    <row r="135" spans="1:52">
      <c r="B135" s="88" t="s">
        <v>466</v>
      </c>
      <c r="E135" t="s">
        <v>427</v>
      </c>
      <c r="G135" s="108" t="s">
        <v>467</v>
      </c>
    </row>
    <row r="136" spans="1:52">
      <c r="B136" t="s">
        <v>427</v>
      </c>
      <c r="E136" t="s">
        <v>468</v>
      </c>
    </row>
    <row r="137" spans="1:52">
      <c r="B137" t="s">
        <v>469</v>
      </c>
      <c r="E137" t="s">
        <v>470</v>
      </c>
    </row>
    <row r="138" spans="1:52">
      <c r="B138" t="s">
        <v>470</v>
      </c>
      <c r="E138" t="s">
        <v>439</v>
      </c>
    </row>
    <row r="139" spans="1:52">
      <c r="B139" t="s">
        <v>439</v>
      </c>
      <c r="E139" t="s">
        <v>471</v>
      </c>
    </row>
    <row r="140" spans="1:52">
      <c r="B140" t="s">
        <v>471</v>
      </c>
      <c r="E140" t="s">
        <v>472</v>
      </c>
    </row>
    <row r="141" spans="1:52">
      <c r="B141" t="s">
        <v>472</v>
      </c>
      <c r="E141" t="s">
        <v>473</v>
      </c>
    </row>
    <row r="142" spans="1:52">
      <c r="B142" t="s">
        <v>473</v>
      </c>
      <c r="E142" t="s">
        <v>474</v>
      </c>
    </row>
    <row r="143" spans="1:52">
      <c r="B143" t="s">
        <v>474</v>
      </c>
      <c r="E143" t="s">
        <v>475</v>
      </c>
    </row>
    <row r="144" spans="1:52">
      <c r="B144" t="s">
        <v>475</v>
      </c>
      <c r="E144" t="s">
        <v>476</v>
      </c>
    </row>
    <row r="145" spans="2:5">
      <c r="B145" t="s">
        <v>476</v>
      </c>
      <c r="E145" t="s">
        <v>477</v>
      </c>
    </row>
    <row r="146" spans="2:5">
      <c r="B146" t="s">
        <v>477</v>
      </c>
      <c r="E146" t="s">
        <v>478</v>
      </c>
    </row>
    <row r="147" spans="2:5">
      <c r="B147" t="s">
        <v>478</v>
      </c>
      <c r="E147" t="s">
        <v>479</v>
      </c>
    </row>
    <row r="148" spans="2:5">
      <c r="B148" t="s">
        <v>479</v>
      </c>
      <c r="E148" t="s">
        <v>480</v>
      </c>
    </row>
    <row r="149" spans="2:5">
      <c r="B149" t="s">
        <v>480</v>
      </c>
      <c r="E149" t="s">
        <v>481</v>
      </c>
    </row>
    <row r="150" spans="2:5">
      <c r="B150" t="s">
        <v>481</v>
      </c>
      <c r="E150" t="s">
        <v>482</v>
      </c>
    </row>
    <row r="151" spans="2:5">
      <c r="B151" t="s">
        <v>483</v>
      </c>
      <c r="E151" t="s">
        <v>484</v>
      </c>
    </row>
    <row r="152" spans="2:5">
      <c r="B152" t="s">
        <v>484</v>
      </c>
      <c r="E152" t="s">
        <v>485</v>
      </c>
    </row>
    <row r="153" spans="2:5">
      <c r="B153" t="s">
        <v>486</v>
      </c>
      <c r="E153" t="s">
        <v>487</v>
      </c>
    </row>
    <row r="154" spans="2:5">
      <c r="B154" t="s">
        <v>487</v>
      </c>
      <c r="E154" t="s">
        <v>488</v>
      </c>
    </row>
    <row r="155" spans="2:5">
      <c r="B155" t="s">
        <v>489</v>
      </c>
      <c r="E155" t="s">
        <v>490</v>
      </c>
    </row>
    <row r="156" spans="2:5">
      <c r="B156" t="s">
        <v>490</v>
      </c>
      <c r="E156" t="s">
        <v>491</v>
      </c>
    </row>
    <row r="157" spans="2:5">
      <c r="B157" t="s">
        <v>491</v>
      </c>
      <c r="E157" t="s">
        <v>492</v>
      </c>
    </row>
    <row r="158" spans="2:5">
      <c r="B158" t="s">
        <v>492</v>
      </c>
      <c r="E158" t="s">
        <v>493</v>
      </c>
    </row>
    <row r="159" spans="2:5">
      <c r="B159" t="s">
        <v>493</v>
      </c>
      <c r="E159" t="s">
        <v>494</v>
      </c>
    </row>
    <row r="160" spans="2:5">
      <c r="B160" t="s">
        <v>494</v>
      </c>
      <c r="E160" t="s">
        <v>495</v>
      </c>
    </row>
    <row r="161" spans="2:5">
      <c r="B161" t="s">
        <v>495</v>
      </c>
      <c r="E161" t="s">
        <v>496</v>
      </c>
    </row>
    <row r="162" spans="2:5">
      <c r="B162" t="s">
        <v>496</v>
      </c>
      <c r="E162" t="s">
        <v>497</v>
      </c>
    </row>
    <row r="163" spans="2:5">
      <c r="B163" t="s">
        <v>497</v>
      </c>
      <c r="E163" t="s">
        <v>498</v>
      </c>
    </row>
    <row r="164" spans="2:5">
      <c r="B164" t="s">
        <v>498</v>
      </c>
      <c r="E164" t="s">
        <v>499</v>
      </c>
    </row>
    <row r="165" spans="2:5">
      <c r="B165" t="s">
        <v>499</v>
      </c>
      <c r="E165" t="s">
        <v>500</v>
      </c>
    </row>
    <row r="166" spans="2:5">
      <c r="B166" t="s">
        <v>500</v>
      </c>
      <c r="E166" t="s">
        <v>501</v>
      </c>
    </row>
    <row r="167" spans="2:5">
      <c r="B167" t="s">
        <v>501</v>
      </c>
      <c r="E167" t="s">
        <v>502</v>
      </c>
    </row>
    <row r="168" spans="2:5">
      <c r="B168" t="s">
        <v>502</v>
      </c>
      <c r="E168" t="s">
        <v>503</v>
      </c>
    </row>
    <row r="169" spans="2:5">
      <c r="B169" t="s">
        <v>503</v>
      </c>
      <c r="E169" t="s">
        <v>504</v>
      </c>
    </row>
    <row r="170" spans="2:5">
      <c r="B170" t="s">
        <v>504</v>
      </c>
      <c r="E170" t="s">
        <v>505</v>
      </c>
    </row>
    <row r="171" spans="2:5">
      <c r="B171" t="s">
        <v>505</v>
      </c>
      <c r="E171" t="s">
        <v>506</v>
      </c>
    </row>
    <row r="172" spans="2:5">
      <c r="B172" t="s">
        <v>506</v>
      </c>
      <c r="E172" t="s">
        <v>507</v>
      </c>
    </row>
    <row r="173" spans="2:5">
      <c r="B173" t="s">
        <v>507</v>
      </c>
      <c r="E173" t="s">
        <v>508</v>
      </c>
    </row>
    <row r="174" spans="2:5">
      <c r="B174" t="s">
        <v>508</v>
      </c>
      <c r="E174" t="s">
        <v>509</v>
      </c>
    </row>
    <row r="175" spans="2:5">
      <c r="B175" t="s">
        <v>509</v>
      </c>
      <c r="E175" t="s">
        <v>510</v>
      </c>
    </row>
    <row r="176" spans="2:5">
      <c r="B176" t="s">
        <v>510</v>
      </c>
      <c r="E176" t="s">
        <v>511</v>
      </c>
    </row>
    <row r="177" spans="2:22">
      <c r="B177" t="s">
        <v>511</v>
      </c>
      <c r="E177" t="s">
        <v>512</v>
      </c>
    </row>
    <row r="178" spans="2:22">
      <c r="B178" t="s">
        <v>512</v>
      </c>
      <c r="E178" t="s">
        <v>513</v>
      </c>
    </row>
    <row r="179" spans="2:22">
      <c r="B179" t="s">
        <v>513</v>
      </c>
      <c r="E179" t="s">
        <v>514</v>
      </c>
    </row>
    <row r="180" spans="2:22">
      <c r="B180" t="s">
        <v>514</v>
      </c>
      <c r="E180" t="s">
        <v>515</v>
      </c>
    </row>
    <row r="181" spans="2:22">
      <c r="B181" t="s">
        <v>515</v>
      </c>
      <c r="E181" t="s">
        <v>516</v>
      </c>
    </row>
    <row r="182" spans="2:22">
      <c r="B182" t="s">
        <v>516</v>
      </c>
      <c r="E182" t="s">
        <v>517</v>
      </c>
    </row>
    <row r="183" spans="2:22">
      <c r="B183" t="s">
        <v>517</v>
      </c>
      <c r="E183" t="s">
        <v>518</v>
      </c>
    </row>
    <row r="184" spans="2:22">
      <c r="B184" t="s">
        <v>518</v>
      </c>
      <c r="E184" t="s">
        <v>519</v>
      </c>
    </row>
    <row r="185" spans="2:22">
      <c r="B185" t="s">
        <v>519</v>
      </c>
      <c r="E185" t="s">
        <v>520</v>
      </c>
    </row>
    <row r="186" spans="2:22">
      <c r="B186" t="s">
        <v>520</v>
      </c>
      <c r="E186" t="s">
        <v>521</v>
      </c>
      <c r="L186" t="s">
        <v>522</v>
      </c>
      <c r="M186" t="s">
        <v>353</v>
      </c>
      <c r="N186" t="s">
        <v>354</v>
      </c>
    </row>
    <row r="187" spans="2:22">
      <c r="B187" t="s">
        <v>521</v>
      </c>
      <c r="E187" t="s">
        <v>523</v>
      </c>
      <c r="K187" t="s">
        <v>524</v>
      </c>
      <c r="L187" t="s">
        <v>525</v>
      </c>
      <c r="M187">
        <f>K93</f>
        <v>2.0000000000000004</v>
      </c>
      <c r="N187">
        <f>L93</f>
        <v>0.6</v>
      </c>
    </row>
    <row r="188" spans="2:22">
      <c r="B188" t="s">
        <v>523</v>
      </c>
      <c r="E188" t="s">
        <v>526</v>
      </c>
    </row>
    <row r="189" spans="2:22">
      <c r="B189" t="s">
        <v>526</v>
      </c>
      <c r="E189" t="s">
        <v>527</v>
      </c>
    </row>
    <row r="190" spans="2:22">
      <c r="B190" t="s">
        <v>527</v>
      </c>
      <c r="E190" t="s">
        <v>528</v>
      </c>
    </row>
    <row r="191" spans="2:22">
      <c r="B191" t="s">
        <v>528</v>
      </c>
      <c r="E191" t="s">
        <v>529</v>
      </c>
      <c r="N191" s="534" t="s">
        <v>530</v>
      </c>
      <c r="O191" s="534"/>
      <c r="P191" s="534"/>
      <c r="Q191" s="534"/>
      <c r="R191" s="534"/>
      <c r="S191" s="534"/>
      <c r="V191" t="s">
        <v>531</v>
      </c>
    </row>
    <row r="192" spans="2:22">
      <c r="B192" t="s">
        <v>529</v>
      </c>
      <c r="E192" t="s">
        <v>532</v>
      </c>
      <c r="N192" s="533" t="s">
        <v>369</v>
      </c>
      <c r="O192" s="533"/>
      <c r="P192" s="533"/>
      <c r="Q192" s="533"/>
      <c r="R192" s="91" t="s">
        <v>208</v>
      </c>
      <c r="S192" s="101">
        <v>3286.2707288543102</v>
      </c>
      <c r="U192" t="s">
        <v>410</v>
      </c>
      <c r="V192">
        <v>10</v>
      </c>
    </row>
    <row r="193" spans="1:22">
      <c r="B193" t="s">
        <v>532</v>
      </c>
      <c r="E193" t="s">
        <v>533</v>
      </c>
      <c r="N193" s="533" t="s">
        <v>371</v>
      </c>
      <c r="O193" s="533"/>
      <c r="P193" s="533"/>
      <c r="Q193" s="533"/>
      <c r="R193" s="91" t="s">
        <v>208</v>
      </c>
      <c r="S193" s="102">
        <v>9.0034814489159292</v>
      </c>
      <c r="U193" t="s">
        <v>411</v>
      </c>
      <c r="V193">
        <v>9</v>
      </c>
    </row>
    <row r="194" spans="1:22">
      <c r="B194" t="s">
        <v>533</v>
      </c>
      <c r="E194" t="s">
        <v>534</v>
      </c>
      <c r="N194" s="533" t="s">
        <v>535</v>
      </c>
      <c r="O194" s="533"/>
      <c r="P194" s="533"/>
      <c r="Q194" s="533"/>
      <c r="R194" s="91" t="s">
        <v>208</v>
      </c>
      <c r="S194" s="109">
        <f>S192/249</f>
        <v>13.197874413069519</v>
      </c>
      <c r="U194" t="s">
        <v>409</v>
      </c>
      <c r="V194">
        <v>9</v>
      </c>
    </row>
    <row r="195" spans="1:22">
      <c r="B195" t="s">
        <v>534</v>
      </c>
      <c r="E195" t="s">
        <v>536</v>
      </c>
    </row>
    <row r="196" spans="1:22">
      <c r="B196" t="s">
        <v>536</v>
      </c>
      <c r="E196" t="s">
        <v>537</v>
      </c>
    </row>
    <row r="197" spans="1:22">
      <c r="B197" t="s">
        <v>537</v>
      </c>
      <c r="E197" t="s">
        <v>538</v>
      </c>
    </row>
    <row r="198" spans="1:22">
      <c r="B198" t="s">
        <v>538</v>
      </c>
      <c r="E198" t="s">
        <v>539</v>
      </c>
    </row>
    <row r="199" spans="1:22">
      <c r="B199" t="s">
        <v>539</v>
      </c>
    </row>
    <row r="202" spans="1:22" s="95" customFormat="1" ht="24">
      <c r="A202" s="94" t="s">
        <v>540</v>
      </c>
    </row>
    <row r="204" spans="1:22">
      <c r="B204" t="s">
        <v>541</v>
      </c>
    </row>
    <row r="205" spans="1:22">
      <c r="B205" t="s">
        <v>542</v>
      </c>
      <c r="D205" t="s">
        <v>543</v>
      </c>
      <c r="F205" t="s">
        <v>544</v>
      </c>
    </row>
    <row r="206" spans="1:22">
      <c r="B206" t="s">
        <v>545</v>
      </c>
      <c r="D206" t="s">
        <v>546</v>
      </c>
      <c r="F206" t="s">
        <v>547</v>
      </c>
    </row>
    <row r="207" spans="1:22">
      <c r="B207" t="s">
        <v>470</v>
      </c>
      <c r="D207" t="s">
        <v>470</v>
      </c>
      <c r="F207" t="s">
        <v>470</v>
      </c>
      <c r="K207" t="s">
        <v>411</v>
      </c>
    </row>
    <row r="208" spans="1:22">
      <c r="B208" t="s">
        <v>548</v>
      </c>
      <c r="D208" t="s">
        <v>548</v>
      </c>
      <c r="F208" t="s">
        <v>548</v>
      </c>
    </row>
    <row r="209" spans="2:10">
      <c r="B209" t="s">
        <v>549</v>
      </c>
      <c r="D209" t="s">
        <v>549</v>
      </c>
      <c r="F209" t="s">
        <v>549</v>
      </c>
      <c r="J209" s="7">
        <v>1</v>
      </c>
    </row>
    <row r="210" spans="2:10">
      <c r="B210" t="s">
        <v>550</v>
      </c>
      <c r="D210" t="s">
        <v>550</v>
      </c>
      <c r="F210" t="s">
        <v>550</v>
      </c>
      <c r="J210" s="7">
        <f t="shared" ref="J210:J232" si="1">J209+1</f>
        <v>2</v>
      </c>
    </row>
    <row r="211" spans="2:10">
      <c r="B211" t="s">
        <v>551</v>
      </c>
      <c r="D211" t="s">
        <v>551</v>
      </c>
      <c r="F211" t="s">
        <v>551</v>
      </c>
      <c r="J211" s="7">
        <f t="shared" si="1"/>
        <v>3</v>
      </c>
    </row>
    <row r="212" spans="2:10">
      <c r="B212" t="s">
        <v>552</v>
      </c>
      <c r="D212" t="s">
        <v>552</v>
      </c>
      <c r="F212" t="s">
        <v>552</v>
      </c>
      <c r="J212" s="7">
        <f t="shared" si="1"/>
        <v>4</v>
      </c>
    </row>
    <row r="213" spans="2:10">
      <c r="B213" t="s">
        <v>553</v>
      </c>
      <c r="D213" t="s">
        <v>553</v>
      </c>
      <c r="F213" t="s">
        <v>553</v>
      </c>
      <c r="J213" s="7">
        <f t="shared" si="1"/>
        <v>5</v>
      </c>
    </row>
    <row r="214" spans="2:10">
      <c r="B214" t="s">
        <v>554</v>
      </c>
      <c r="D214" t="s">
        <v>554</v>
      </c>
      <c r="F214" t="s">
        <v>554</v>
      </c>
      <c r="J214" s="7">
        <f t="shared" si="1"/>
        <v>6</v>
      </c>
    </row>
    <row r="215" spans="2:10">
      <c r="B215" t="s">
        <v>555</v>
      </c>
      <c r="D215" t="s">
        <v>555</v>
      </c>
      <c r="F215" t="s">
        <v>555</v>
      </c>
      <c r="J215" s="7">
        <f t="shared" si="1"/>
        <v>7</v>
      </c>
    </row>
    <row r="216" spans="2:10">
      <c r="B216" t="s">
        <v>556</v>
      </c>
      <c r="D216" t="s">
        <v>556</v>
      </c>
      <c r="F216" t="s">
        <v>556</v>
      </c>
      <c r="J216" s="7">
        <f t="shared" si="1"/>
        <v>8</v>
      </c>
    </row>
    <row r="217" spans="2:10">
      <c r="B217" t="s">
        <v>557</v>
      </c>
      <c r="D217" t="s">
        <v>557</v>
      </c>
      <c r="F217" t="s">
        <v>557</v>
      </c>
      <c r="J217" s="7">
        <f t="shared" si="1"/>
        <v>9</v>
      </c>
    </row>
    <row r="218" spans="2:10">
      <c r="B218" t="s">
        <v>558</v>
      </c>
      <c r="D218" t="s">
        <v>558</v>
      </c>
      <c r="F218" t="s">
        <v>558</v>
      </c>
      <c r="J218" s="7">
        <f t="shared" si="1"/>
        <v>10</v>
      </c>
    </row>
    <row r="219" spans="2:10">
      <c r="B219" t="s">
        <v>559</v>
      </c>
      <c r="D219" t="s">
        <v>559</v>
      </c>
      <c r="F219" t="s">
        <v>559</v>
      </c>
      <c r="J219" s="7">
        <f t="shared" si="1"/>
        <v>11</v>
      </c>
    </row>
    <row r="220" spans="2:10">
      <c r="B220" t="s">
        <v>560</v>
      </c>
      <c r="D220" t="s">
        <v>560</v>
      </c>
      <c r="F220" t="s">
        <v>560</v>
      </c>
      <c r="J220" s="7">
        <f t="shared" si="1"/>
        <v>12</v>
      </c>
    </row>
    <row r="221" spans="2:10">
      <c r="B221" t="s">
        <v>561</v>
      </c>
      <c r="D221" t="s">
        <v>561</v>
      </c>
      <c r="F221" t="s">
        <v>561</v>
      </c>
      <c r="J221" s="7">
        <f t="shared" si="1"/>
        <v>13</v>
      </c>
    </row>
    <row r="222" spans="2:10">
      <c r="B222" t="s">
        <v>562</v>
      </c>
      <c r="D222" t="s">
        <v>562</v>
      </c>
      <c r="F222" t="s">
        <v>563</v>
      </c>
      <c r="J222" s="7">
        <f t="shared" si="1"/>
        <v>14</v>
      </c>
    </row>
    <row r="223" spans="2:10">
      <c r="B223" t="s">
        <v>564</v>
      </c>
      <c r="D223" t="s">
        <v>564</v>
      </c>
      <c r="F223" t="s">
        <v>564</v>
      </c>
      <c r="J223" s="7">
        <f t="shared" si="1"/>
        <v>15</v>
      </c>
    </row>
    <row r="224" spans="2:10">
      <c r="B224" t="s">
        <v>565</v>
      </c>
      <c r="D224" t="s">
        <v>566</v>
      </c>
      <c r="F224" t="s">
        <v>567</v>
      </c>
      <c r="J224" s="7">
        <f t="shared" si="1"/>
        <v>16</v>
      </c>
    </row>
    <row r="225" spans="2:10">
      <c r="B225" t="s">
        <v>568</v>
      </c>
      <c r="D225" t="s">
        <v>568</v>
      </c>
      <c r="F225" t="s">
        <v>568</v>
      </c>
      <c r="J225" s="7">
        <f t="shared" si="1"/>
        <v>17</v>
      </c>
    </row>
    <row r="226" spans="2:10">
      <c r="B226" t="s">
        <v>569</v>
      </c>
      <c r="D226" t="s">
        <v>570</v>
      </c>
      <c r="F226" t="s">
        <v>571</v>
      </c>
      <c r="J226" s="7">
        <f t="shared" si="1"/>
        <v>18</v>
      </c>
    </row>
    <row r="227" spans="2:10">
      <c r="B227" t="s">
        <v>572</v>
      </c>
      <c r="D227" t="s">
        <v>572</v>
      </c>
      <c r="F227" t="s">
        <v>572</v>
      </c>
      <c r="J227" s="7">
        <f t="shared" si="1"/>
        <v>19</v>
      </c>
    </row>
    <row r="228" spans="2:10">
      <c r="B228" t="s">
        <v>573</v>
      </c>
      <c r="D228" t="s">
        <v>574</v>
      </c>
      <c r="F228" t="s">
        <v>575</v>
      </c>
      <c r="J228" s="7">
        <f t="shared" si="1"/>
        <v>20</v>
      </c>
    </row>
    <row r="229" spans="2:10">
      <c r="B229" t="s">
        <v>576</v>
      </c>
      <c r="D229" t="s">
        <v>576</v>
      </c>
      <c r="F229" t="s">
        <v>576</v>
      </c>
      <c r="J229" s="7">
        <f t="shared" si="1"/>
        <v>21</v>
      </c>
    </row>
    <row r="230" spans="2:10">
      <c r="B230" t="s">
        <v>577</v>
      </c>
      <c r="D230" t="s">
        <v>578</v>
      </c>
      <c r="F230" t="s">
        <v>579</v>
      </c>
      <c r="J230" s="7">
        <f t="shared" si="1"/>
        <v>22</v>
      </c>
    </row>
    <row r="231" spans="2:10">
      <c r="B231" t="s">
        <v>580</v>
      </c>
      <c r="D231" t="s">
        <v>580</v>
      </c>
      <c r="F231" t="s">
        <v>580</v>
      </c>
      <c r="J231" s="7">
        <f t="shared" si="1"/>
        <v>23</v>
      </c>
    </row>
    <row r="232" spans="2:10">
      <c r="B232" t="s">
        <v>581</v>
      </c>
      <c r="D232" t="s">
        <v>582</v>
      </c>
      <c r="F232" t="s">
        <v>583</v>
      </c>
      <c r="J232" s="7">
        <f t="shared" si="1"/>
        <v>24</v>
      </c>
    </row>
    <row r="233" spans="2:10">
      <c r="B233" t="s">
        <v>584</v>
      </c>
      <c r="D233" t="s">
        <v>584</v>
      </c>
      <c r="F233" t="s">
        <v>584</v>
      </c>
    </row>
    <row r="234" spans="2:10">
      <c r="B234" t="s">
        <v>585</v>
      </c>
      <c r="D234" t="s">
        <v>586</v>
      </c>
      <c r="F234" t="s">
        <v>587</v>
      </c>
    </row>
    <row r="235" spans="2:10">
      <c r="B235" t="s">
        <v>588</v>
      </c>
      <c r="D235" t="s">
        <v>588</v>
      </c>
      <c r="F235" t="s">
        <v>588</v>
      </c>
    </row>
    <row r="236" spans="2:10">
      <c r="B236" t="s">
        <v>589</v>
      </c>
      <c r="D236" t="s">
        <v>590</v>
      </c>
      <c r="F236" t="s">
        <v>591</v>
      </c>
    </row>
    <row r="237" spans="2:10">
      <c r="B237" t="s">
        <v>592</v>
      </c>
      <c r="D237" t="s">
        <v>592</v>
      </c>
      <c r="F237" t="s">
        <v>592</v>
      </c>
    </row>
    <row r="238" spans="2:10">
      <c r="B238" t="s">
        <v>593</v>
      </c>
      <c r="D238" t="s">
        <v>594</v>
      </c>
      <c r="F238" t="s">
        <v>595</v>
      </c>
    </row>
    <row r="239" spans="2:10">
      <c r="B239" t="s">
        <v>596</v>
      </c>
      <c r="D239" t="s">
        <v>596</v>
      </c>
      <c r="F239" t="s">
        <v>596</v>
      </c>
    </row>
    <row r="240" spans="2:10">
      <c r="B240" t="s">
        <v>597</v>
      </c>
      <c r="D240" t="s">
        <v>598</v>
      </c>
      <c r="F240" t="s">
        <v>599</v>
      </c>
    </row>
    <row r="241" spans="2:6">
      <c r="B241" t="s">
        <v>600</v>
      </c>
      <c r="D241" t="s">
        <v>600</v>
      </c>
      <c r="F241" t="s">
        <v>600</v>
      </c>
    </row>
    <row r="242" spans="2:6">
      <c r="B242" t="s">
        <v>601</v>
      </c>
      <c r="D242" t="s">
        <v>602</v>
      </c>
      <c r="F242" t="s">
        <v>603</v>
      </c>
    </row>
    <row r="243" spans="2:6">
      <c r="B243" t="s">
        <v>604</v>
      </c>
      <c r="D243" t="s">
        <v>604</v>
      </c>
      <c r="F243" t="s">
        <v>604</v>
      </c>
    </row>
    <row r="244" spans="2:6">
      <c r="B244" t="s">
        <v>605</v>
      </c>
      <c r="D244" t="s">
        <v>606</v>
      </c>
      <c r="F244" t="s">
        <v>606</v>
      </c>
    </row>
    <row r="245" spans="2:6">
      <c r="B245" t="s">
        <v>607</v>
      </c>
      <c r="D245" t="s">
        <v>607</v>
      </c>
      <c r="F245" t="s">
        <v>607</v>
      </c>
    </row>
    <row r="246" spans="2:6">
      <c r="B246" t="s">
        <v>608</v>
      </c>
      <c r="D246" t="s">
        <v>609</v>
      </c>
      <c r="F246" t="s">
        <v>610</v>
      </c>
    </row>
    <row r="247" spans="2:6">
      <c r="B247" t="s">
        <v>611</v>
      </c>
      <c r="D247" t="s">
        <v>611</v>
      </c>
      <c r="F247" t="s">
        <v>611</v>
      </c>
    </row>
    <row r="248" spans="2:6">
      <c r="B248" t="s">
        <v>612</v>
      </c>
      <c r="D248" t="s">
        <v>613</v>
      </c>
      <c r="F248" t="s">
        <v>613</v>
      </c>
    </row>
    <row r="249" spans="2:6">
      <c r="B249" t="s">
        <v>614</v>
      </c>
      <c r="D249" t="s">
        <v>614</v>
      </c>
      <c r="F249" t="s">
        <v>614</v>
      </c>
    </row>
    <row r="250" spans="2:6">
      <c r="B250" t="s">
        <v>615</v>
      </c>
      <c r="D250" t="s">
        <v>616</v>
      </c>
      <c r="F250" t="s">
        <v>616</v>
      </c>
    </row>
    <row r="251" spans="2:6">
      <c r="B251" t="s">
        <v>617</v>
      </c>
      <c r="D251" t="s">
        <v>617</v>
      </c>
      <c r="F251" t="s">
        <v>617</v>
      </c>
    </row>
    <row r="252" spans="2:6">
      <c r="B252" t="s">
        <v>618</v>
      </c>
      <c r="D252" t="s">
        <v>619</v>
      </c>
      <c r="F252" t="s">
        <v>619</v>
      </c>
    </row>
    <row r="253" spans="2:6">
      <c r="B253" t="s">
        <v>620</v>
      </c>
      <c r="D253" t="s">
        <v>620</v>
      </c>
      <c r="F253" t="s">
        <v>620</v>
      </c>
    </row>
    <row r="254" spans="2:6">
      <c r="B254" t="s">
        <v>621</v>
      </c>
      <c r="D254" t="s">
        <v>622</v>
      </c>
      <c r="F254" t="s">
        <v>622</v>
      </c>
    </row>
    <row r="255" spans="2:6">
      <c r="B255" t="s">
        <v>623</v>
      </c>
      <c r="D255" t="s">
        <v>623</v>
      </c>
      <c r="F255" t="s">
        <v>623</v>
      </c>
    </row>
    <row r="256" spans="2:6">
      <c r="B256" t="s">
        <v>624</v>
      </c>
      <c r="D256" t="s">
        <v>625</v>
      </c>
      <c r="F256" t="s">
        <v>625</v>
      </c>
    </row>
  </sheetData>
  <mergeCells count="15">
    <mergeCell ref="A1:F1"/>
    <mergeCell ref="C2:D2"/>
    <mergeCell ref="N192:Q192"/>
    <mergeCell ref="A33:M33"/>
    <mergeCell ref="A35:C35"/>
    <mergeCell ref="A36:C36"/>
    <mergeCell ref="A37:C37"/>
    <mergeCell ref="N193:Q193"/>
    <mergeCell ref="N194:Q194"/>
    <mergeCell ref="N191:S191"/>
    <mergeCell ref="J66:L66"/>
    <mergeCell ref="A50:M50"/>
    <mergeCell ref="B66:C66"/>
    <mergeCell ref="E66:G66"/>
    <mergeCell ref="J67:K67"/>
  </mergeCells>
  <phoneticPr fontId="9" type="noConversion"/>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19C81-B0B9-4AE9-9154-3628732CA590}">
  <sheetPr>
    <tabColor rgb="FF00B050"/>
  </sheetPr>
  <dimension ref="A1:Q49"/>
  <sheetViews>
    <sheetView zoomScale="130" zoomScaleNormal="130" workbookViewId="0">
      <selection activeCell="F16" sqref="F16"/>
    </sheetView>
  </sheetViews>
  <sheetFormatPr defaultColWidth="8.42578125" defaultRowHeight="12.95"/>
  <cols>
    <col min="1" max="1" width="26" style="153" customWidth="1"/>
    <col min="2" max="2" width="26" style="220" customWidth="1"/>
    <col min="3" max="4" width="26" style="153" customWidth="1"/>
    <col min="5" max="5" width="51.140625" style="153" customWidth="1"/>
    <col min="6" max="7" width="19.85546875" style="153" customWidth="1"/>
    <col min="8" max="8" width="15.85546875" style="153" customWidth="1"/>
    <col min="9" max="9" width="55.85546875" style="153" customWidth="1"/>
    <col min="10" max="10" width="8.42578125" style="153"/>
    <col min="11" max="11" width="10.42578125" style="153" bestFit="1" customWidth="1"/>
    <col min="12" max="12" width="16.42578125" style="153" customWidth="1"/>
    <col min="13" max="14" width="10.42578125" style="153" bestFit="1" customWidth="1"/>
    <col min="15" max="16384" width="8.42578125" style="153"/>
  </cols>
  <sheetData>
    <row r="1" spans="1:17" s="3" customFormat="1" ht="15">
      <c r="A1" s="464" t="s">
        <v>2</v>
      </c>
      <c r="B1" s="607"/>
      <c r="C1" s="608"/>
      <c r="D1" s="608"/>
      <c r="E1" s="608"/>
      <c r="F1" s="608"/>
      <c r="G1" s="608"/>
      <c r="H1" s="463"/>
      <c r="I1" s="463"/>
      <c r="J1" s="463"/>
      <c r="K1" s="463"/>
      <c r="L1" s="463"/>
      <c r="M1" s="463"/>
      <c r="N1" s="463"/>
      <c r="O1" s="463"/>
      <c r="P1" s="463"/>
      <c r="Q1" s="463"/>
    </row>
    <row r="3" spans="1:17" ht="23.45" customHeight="1">
      <c r="A3" s="543" t="s">
        <v>626</v>
      </c>
      <c r="B3" s="544"/>
      <c r="C3" s="544"/>
      <c r="D3" s="544"/>
      <c r="E3" s="544"/>
    </row>
    <row r="4" spans="1:17" ht="29.45" customHeight="1">
      <c r="A4" s="300" t="s">
        <v>627</v>
      </c>
      <c r="B4" s="301" t="s">
        <v>628</v>
      </c>
      <c r="C4" s="300" t="s">
        <v>629</v>
      </c>
      <c r="D4" s="300" t="s">
        <v>630</v>
      </c>
      <c r="E4" s="300" t="s">
        <v>125</v>
      </c>
      <c r="F4" s="155"/>
    </row>
    <row r="5" spans="1:17" ht="18.95" customHeight="1">
      <c r="A5" s="294" t="s">
        <v>631</v>
      </c>
      <c r="B5" s="302">
        <f>F40</f>
        <v>24.23537395182008</v>
      </c>
      <c r="C5" s="178">
        <v>0</v>
      </c>
      <c r="D5" s="178">
        <v>100</v>
      </c>
      <c r="E5" s="505" t="s">
        <v>632</v>
      </c>
      <c r="F5" s="156"/>
    </row>
    <row r="6" spans="1:17" ht="18.95" customHeight="1">
      <c r="A6" s="294" t="s">
        <v>56</v>
      </c>
      <c r="B6" s="302">
        <f>F41</f>
        <v>48.470747903640159</v>
      </c>
      <c r="C6" s="178">
        <v>0</v>
      </c>
      <c r="D6" s="178">
        <v>60</v>
      </c>
      <c r="E6" s="505"/>
      <c r="F6" s="156"/>
      <c r="G6" s="194"/>
    </row>
    <row r="7" spans="1:17" ht="21" customHeight="1">
      <c r="A7" s="294" t="s">
        <v>64</v>
      </c>
      <c r="B7" s="302">
        <v>0</v>
      </c>
      <c r="C7" s="178">
        <v>0</v>
      </c>
      <c r="D7" s="178">
        <v>100</v>
      </c>
      <c r="E7" s="505"/>
      <c r="F7" s="156"/>
      <c r="G7" s="194"/>
    </row>
    <row r="8" spans="1:17" ht="18" customHeight="1">
      <c r="A8" s="293" t="s">
        <v>60</v>
      </c>
      <c r="B8" s="244">
        <f>F43</f>
        <v>4.4239174673957287</v>
      </c>
      <c r="C8" s="178">
        <v>0</v>
      </c>
      <c r="D8" s="178">
        <v>100</v>
      </c>
      <c r="E8" s="505"/>
      <c r="F8" s="156"/>
      <c r="G8" s="169"/>
    </row>
    <row r="9" spans="1:17" ht="12.75" customHeight="1">
      <c r="A9" s="293" t="s">
        <v>66</v>
      </c>
      <c r="B9" s="295">
        <v>0</v>
      </c>
      <c r="C9" s="269">
        <v>0</v>
      </c>
      <c r="D9" s="269">
        <v>100</v>
      </c>
      <c r="E9" s="545"/>
    </row>
    <row r="10" spans="1:17">
      <c r="A10" s="293" t="s">
        <v>68</v>
      </c>
      <c r="B10" s="269">
        <v>0</v>
      </c>
      <c r="C10" s="269">
        <v>0</v>
      </c>
      <c r="D10" s="269">
        <v>100</v>
      </c>
      <c r="E10" s="545"/>
    </row>
    <row r="11" spans="1:17">
      <c r="A11" s="293" t="s">
        <v>71</v>
      </c>
      <c r="B11" s="269">
        <v>0</v>
      </c>
      <c r="C11" s="269">
        <v>0</v>
      </c>
      <c r="D11" s="269">
        <v>100</v>
      </c>
      <c r="E11" s="545"/>
    </row>
    <row r="12" spans="1:17">
      <c r="A12" s="293" t="s">
        <v>72</v>
      </c>
      <c r="B12" s="269">
        <v>0</v>
      </c>
      <c r="C12" s="269">
        <v>0</v>
      </c>
      <c r="D12" s="269">
        <v>100</v>
      </c>
      <c r="E12" s="545"/>
    </row>
    <row r="13" spans="1:17">
      <c r="A13" s="221"/>
      <c r="C13" s="220"/>
      <c r="D13" s="220"/>
      <c r="E13" s="157"/>
    </row>
    <row r="14" spans="1:17">
      <c r="A14" s="221"/>
      <c r="C14" s="220"/>
      <c r="D14" s="220"/>
      <c r="E14" s="157"/>
    </row>
    <row r="15" spans="1:17" ht="15.95">
      <c r="A15" s="543" t="s">
        <v>633</v>
      </c>
      <c r="B15" s="544"/>
      <c r="C15" s="544"/>
      <c r="D15" s="544"/>
      <c r="E15" s="544"/>
    </row>
    <row r="16" spans="1:17" ht="27.95">
      <c r="A16" s="300" t="s">
        <v>627</v>
      </c>
      <c r="B16" s="301" t="s">
        <v>628</v>
      </c>
      <c r="C16" s="300" t="s">
        <v>629</v>
      </c>
      <c r="D16" s="300" t="s">
        <v>630</v>
      </c>
      <c r="E16" s="300" t="s">
        <v>125</v>
      </c>
    </row>
    <row r="17" spans="1:5">
      <c r="A17" s="294" t="s">
        <v>631</v>
      </c>
      <c r="B17" s="302">
        <f>H44</f>
        <v>29.337557941676938</v>
      </c>
      <c r="C17" s="178">
        <v>0</v>
      </c>
      <c r="D17" s="178">
        <v>100</v>
      </c>
      <c r="E17" s="505" t="s">
        <v>634</v>
      </c>
    </row>
    <row r="18" spans="1:5">
      <c r="A18" s="294" t="s">
        <v>56</v>
      </c>
      <c r="B18" s="302">
        <f>H45</f>
        <v>44.006336912515408</v>
      </c>
      <c r="C18" s="178">
        <v>0</v>
      </c>
      <c r="D18" s="178">
        <v>100</v>
      </c>
      <c r="E18" s="505"/>
    </row>
    <row r="19" spans="1:5">
      <c r="A19" s="294" t="s">
        <v>64</v>
      </c>
      <c r="B19" s="302">
        <v>0</v>
      </c>
      <c r="C19" s="178">
        <v>0</v>
      </c>
      <c r="D19" s="178">
        <v>100</v>
      </c>
      <c r="E19" s="505"/>
    </row>
    <row r="20" spans="1:5">
      <c r="A20" s="293" t="s">
        <v>60</v>
      </c>
      <c r="B20" s="302">
        <f t="shared" ref="B20" si="0">H47</f>
        <v>4.8895929902794899</v>
      </c>
      <c r="C20" s="178">
        <v>0</v>
      </c>
      <c r="D20" s="178">
        <v>100</v>
      </c>
      <c r="E20" s="505"/>
    </row>
    <row r="21" spans="1:5">
      <c r="A21" s="293" t="s">
        <v>66</v>
      </c>
      <c r="B21" s="295">
        <v>0</v>
      </c>
      <c r="C21" s="269">
        <v>0</v>
      </c>
      <c r="D21" s="178">
        <v>100</v>
      </c>
      <c r="E21" s="545"/>
    </row>
    <row r="22" spans="1:5">
      <c r="A22" s="293" t="s">
        <v>68</v>
      </c>
      <c r="B22" s="269">
        <v>0</v>
      </c>
      <c r="C22" s="269">
        <v>0</v>
      </c>
      <c r="D22" s="178">
        <v>100</v>
      </c>
      <c r="E22" s="545"/>
    </row>
    <row r="23" spans="1:5">
      <c r="A23" s="293" t="s">
        <v>71</v>
      </c>
      <c r="B23" s="269">
        <v>0</v>
      </c>
      <c r="C23" s="269">
        <v>0</v>
      </c>
      <c r="D23" s="178">
        <v>100</v>
      </c>
      <c r="E23" s="545"/>
    </row>
    <row r="24" spans="1:5">
      <c r="A24" s="293" t="s">
        <v>72</v>
      </c>
      <c r="B24" s="269">
        <v>0</v>
      </c>
      <c r="C24" s="269">
        <v>0</v>
      </c>
      <c r="D24" s="178">
        <v>100</v>
      </c>
      <c r="E24" s="545"/>
    </row>
    <row r="25" spans="1:5">
      <c r="A25" s="154"/>
    </row>
    <row r="26" spans="1:5" ht="15.95">
      <c r="A26" s="543" t="s">
        <v>635</v>
      </c>
      <c r="B26" s="544"/>
      <c r="C26" s="544"/>
      <c r="D26" s="544"/>
      <c r="E26" s="544"/>
    </row>
    <row r="27" spans="1:5" ht="14.1">
      <c r="A27" s="300" t="s">
        <v>627</v>
      </c>
      <c r="B27" s="301" t="s">
        <v>636</v>
      </c>
      <c r="C27" s="300" t="s">
        <v>629</v>
      </c>
      <c r="D27" s="300" t="s">
        <v>637</v>
      </c>
      <c r="E27" s="300" t="s">
        <v>125</v>
      </c>
    </row>
    <row r="28" spans="1:5">
      <c r="A28" s="294" t="s">
        <v>631</v>
      </c>
      <c r="B28" s="302">
        <v>1</v>
      </c>
      <c r="C28" s="178">
        <v>0</v>
      </c>
      <c r="D28" s="178">
        <v>0.85</v>
      </c>
      <c r="E28" s="505" t="s">
        <v>638</v>
      </c>
    </row>
    <row r="29" spans="1:5">
      <c r="A29" s="294" t="s">
        <v>56</v>
      </c>
      <c r="B29" s="302">
        <v>1</v>
      </c>
      <c r="C29" s="178">
        <v>0</v>
      </c>
      <c r="D29" s="178">
        <v>0.85</v>
      </c>
      <c r="E29" s="505"/>
    </row>
    <row r="30" spans="1:5">
      <c r="A30" s="294" t="s">
        <v>64</v>
      </c>
      <c r="B30" s="302">
        <v>1</v>
      </c>
      <c r="C30" s="178">
        <v>0</v>
      </c>
      <c r="D30" s="178">
        <v>0.85</v>
      </c>
      <c r="E30" s="505"/>
    </row>
    <row r="31" spans="1:5">
      <c r="A31" s="293" t="s">
        <v>60</v>
      </c>
      <c r="B31" s="470">
        <v>0</v>
      </c>
      <c r="C31" s="178">
        <v>0</v>
      </c>
      <c r="D31" s="178"/>
      <c r="E31" s="505"/>
    </row>
    <row r="32" spans="1:5">
      <c r="A32" s="293" t="s">
        <v>66</v>
      </c>
      <c r="B32" s="471">
        <v>0</v>
      </c>
      <c r="C32" s="269">
        <v>0</v>
      </c>
      <c r="D32" s="178"/>
      <c r="E32" s="545"/>
    </row>
    <row r="33" spans="1:9">
      <c r="A33" s="293" t="s">
        <v>68</v>
      </c>
      <c r="B33" s="269">
        <v>0</v>
      </c>
      <c r="C33" s="269">
        <v>0</v>
      </c>
      <c r="D33" s="178"/>
      <c r="E33" s="545"/>
    </row>
    <row r="34" spans="1:9">
      <c r="A34" s="293" t="s">
        <v>71</v>
      </c>
      <c r="B34" s="269">
        <v>0</v>
      </c>
      <c r="C34" s="269">
        <v>0</v>
      </c>
      <c r="D34" s="178"/>
      <c r="E34" s="545"/>
    </row>
    <row r="35" spans="1:9">
      <c r="A35" s="293" t="s">
        <v>72</v>
      </c>
      <c r="B35" s="269">
        <v>0</v>
      </c>
      <c r="C35" s="269">
        <v>0</v>
      </c>
      <c r="D35" s="178"/>
      <c r="E35" s="545"/>
    </row>
    <row r="36" spans="1:9">
      <c r="A36" s="154"/>
    </row>
    <row r="37" spans="1:9">
      <c r="A37" s="154"/>
    </row>
    <row r="38" spans="1:9">
      <c r="A38" s="154"/>
    </row>
    <row r="39" spans="1:9" ht="15">
      <c r="A39" t="s">
        <v>38</v>
      </c>
      <c r="B39" s="1" t="s">
        <v>639</v>
      </c>
      <c r="C39" t="s">
        <v>640</v>
      </c>
      <c r="D39" t="s">
        <v>641</v>
      </c>
      <c r="E39" t="s">
        <v>642</v>
      </c>
      <c r="F39" t="s">
        <v>643</v>
      </c>
      <c r="G39" t="s">
        <v>644</v>
      </c>
      <c r="H39" t="s">
        <v>645</v>
      </c>
      <c r="I39" t="s">
        <v>51</v>
      </c>
    </row>
    <row r="40" spans="1:9" ht="15">
      <c r="A40" t="s">
        <v>646</v>
      </c>
      <c r="B40" s="1">
        <v>600</v>
      </c>
      <c r="C40">
        <v>2.2999999999999998</v>
      </c>
      <c r="D40"/>
      <c r="E40">
        <f t="shared" ref="E40:E46" si="1">B40/C40</f>
        <v>260.86956521739131</v>
      </c>
      <c r="F40">
        <f t="shared" ref="F40:F46" si="2">(B40/C40)/10.764</f>
        <v>24.23537395182008</v>
      </c>
      <c r="G40">
        <f t="shared" ref="G40:G46" si="3">B40/C40</f>
        <v>260.86956521739131</v>
      </c>
      <c r="H40" s="65">
        <f t="shared" ref="H40:H46" si="4">(B40/C40)/10.764</f>
        <v>24.23537395182008</v>
      </c>
      <c r="I40" t="s">
        <v>647</v>
      </c>
    </row>
    <row r="41" spans="1:9" ht="15">
      <c r="A41" t="s">
        <v>648</v>
      </c>
      <c r="B41" s="1">
        <v>1200</v>
      </c>
      <c r="C41">
        <v>2.2999999999999998</v>
      </c>
      <c r="D41"/>
      <c r="E41">
        <f t="shared" si="1"/>
        <v>521.73913043478262</v>
      </c>
      <c r="F41">
        <f t="shared" si="2"/>
        <v>48.470747903640159</v>
      </c>
      <c r="G41">
        <f t="shared" si="3"/>
        <v>521.73913043478262</v>
      </c>
      <c r="H41" s="65">
        <f t="shared" si="4"/>
        <v>48.470747903640159</v>
      </c>
      <c r="I41" t="s">
        <v>649</v>
      </c>
    </row>
    <row r="42" spans="1:9" ht="15">
      <c r="A42" t="s">
        <v>650</v>
      </c>
      <c r="B42" s="1">
        <v>200</v>
      </c>
      <c r="C42">
        <v>2.2999999999999998</v>
      </c>
      <c r="D42"/>
      <c r="E42">
        <f t="shared" si="1"/>
        <v>86.956521739130437</v>
      </c>
      <c r="F42">
        <f t="shared" si="2"/>
        <v>8.0784579839400266</v>
      </c>
      <c r="G42">
        <f t="shared" si="3"/>
        <v>86.956521739130437</v>
      </c>
      <c r="H42" s="65">
        <f t="shared" si="4"/>
        <v>8.0784579839400266</v>
      </c>
      <c r="I42" t="s">
        <v>651</v>
      </c>
    </row>
    <row r="43" spans="1:9" ht="15">
      <c r="A43" t="s">
        <v>652</v>
      </c>
      <c r="B43" s="1">
        <v>100</v>
      </c>
      <c r="C43">
        <v>2.1</v>
      </c>
      <c r="D43"/>
      <c r="E43">
        <f t="shared" si="1"/>
        <v>47.61904761904762</v>
      </c>
      <c r="F43">
        <f t="shared" si="2"/>
        <v>4.4239174673957287</v>
      </c>
      <c r="G43">
        <f t="shared" si="3"/>
        <v>47.61904761904762</v>
      </c>
      <c r="H43" s="435">
        <f t="shared" si="4"/>
        <v>4.4239174673957287</v>
      </c>
      <c r="I43" t="s">
        <v>653</v>
      </c>
    </row>
    <row r="44" spans="1:9" ht="15">
      <c r="A44" t="s">
        <v>646</v>
      </c>
      <c r="B44" s="1">
        <v>600</v>
      </c>
      <c r="C44">
        <v>1.9</v>
      </c>
      <c r="D44"/>
      <c r="E44">
        <f t="shared" si="1"/>
        <v>315.78947368421052</v>
      </c>
      <c r="F44">
        <f t="shared" si="2"/>
        <v>29.337557941676938</v>
      </c>
      <c r="G44">
        <f t="shared" si="3"/>
        <v>315.78947368421052</v>
      </c>
      <c r="H44" s="65">
        <f t="shared" si="4"/>
        <v>29.337557941676938</v>
      </c>
      <c r="I44"/>
    </row>
    <row r="45" spans="1:9" ht="15">
      <c r="A45" t="s">
        <v>648</v>
      </c>
      <c r="B45" s="1">
        <v>900</v>
      </c>
      <c r="C45">
        <v>1.9</v>
      </c>
      <c r="D45"/>
      <c r="E45">
        <f t="shared" si="1"/>
        <v>473.68421052631584</v>
      </c>
      <c r="F45">
        <f t="shared" si="2"/>
        <v>44.006336912515408</v>
      </c>
      <c r="G45">
        <f t="shared" si="3"/>
        <v>473.68421052631584</v>
      </c>
      <c r="H45" s="65">
        <f t="shared" si="4"/>
        <v>44.006336912515408</v>
      </c>
      <c r="I45"/>
    </row>
    <row r="46" spans="1:9" ht="15">
      <c r="A46" t="s">
        <v>650</v>
      </c>
      <c r="B46" s="1">
        <v>200</v>
      </c>
      <c r="C46">
        <v>1.9</v>
      </c>
      <c r="D46"/>
      <c r="E46">
        <f t="shared" si="1"/>
        <v>105.26315789473685</v>
      </c>
      <c r="F46">
        <f t="shared" si="2"/>
        <v>9.7791859805589798</v>
      </c>
      <c r="G46">
        <f t="shared" si="3"/>
        <v>105.26315789473685</v>
      </c>
      <c r="H46" s="65">
        <f t="shared" si="4"/>
        <v>9.7791859805589798</v>
      </c>
      <c r="I46"/>
    </row>
    <row r="47" spans="1:9" ht="15">
      <c r="A47" t="s">
        <v>652</v>
      </c>
      <c r="B47" s="1">
        <v>100</v>
      </c>
      <c r="C47">
        <v>1.9</v>
      </c>
      <c r="D47"/>
      <c r="E47">
        <f t="shared" ref="E47" si="5">B47/C47</f>
        <v>52.631578947368425</v>
      </c>
      <c r="F47">
        <f t="shared" ref="F47" si="6">(B47/C47)/10.764</f>
        <v>4.8895929902794899</v>
      </c>
      <c r="G47">
        <f t="shared" ref="G47" si="7">B47/C47</f>
        <v>52.631578947368425</v>
      </c>
      <c r="H47" s="65">
        <f t="shared" ref="H47" si="8">(B47/C47)/10.764</f>
        <v>4.8895929902794899</v>
      </c>
      <c r="I47"/>
    </row>
    <row r="48" spans="1:9" ht="15">
      <c r="A48"/>
      <c r="B48" s="1"/>
      <c r="C48"/>
      <c r="D48"/>
      <c r="E48"/>
      <c r="F48"/>
      <c r="G48"/>
      <c r="H48"/>
      <c r="I48"/>
    </row>
    <row r="49" spans="1:1">
      <c r="A49" s="154"/>
    </row>
  </sheetData>
  <mergeCells count="9">
    <mergeCell ref="A26:E26"/>
    <mergeCell ref="E28:E31"/>
    <mergeCell ref="E32:E35"/>
    <mergeCell ref="E21:E24"/>
    <mergeCell ref="A3:E3"/>
    <mergeCell ref="E9:E12"/>
    <mergeCell ref="E5:E8"/>
    <mergeCell ref="A15:E15"/>
    <mergeCell ref="E17:E20"/>
  </mergeCells>
  <phoneticPr fontId="9" type="noConversion"/>
  <pageMargins left="0.7" right="0.7" top="0.75" bottom="0.75" header="0.3" footer="0.3"/>
  <drawing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AEBC7-570E-431D-A891-0E68E13886AA}">
  <sheetPr>
    <tabColor rgb="FF00B050"/>
  </sheetPr>
  <dimension ref="A1:AN9964"/>
  <sheetViews>
    <sheetView topLeftCell="A2" zoomScale="130" zoomScaleNormal="130" workbookViewId="0"/>
  </sheetViews>
  <sheetFormatPr defaultColWidth="9.42578125" defaultRowHeight="12"/>
  <cols>
    <col min="1" max="1" width="29.140625" style="183" customWidth="1"/>
    <col min="2" max="2" width="31.140625" style="183" customWidth="1"/>
    <col min="3" max="3" width="9.42578125" style="183"/>
    <col min="4" max="4" width="10.85546875" style="183" customWidth="1"/>
    <col min="5" max="28" width="5.42578125" style="183" customWidth="1"/>
    <col min="29" max="16384" width="9.42578125" style="183"/>
  </cols>
  <sheetData>
    <row r="1" spans="1:38" s="3" customFormat="1" ht="15">
      <c r="A1" s="464" t="s">
        <v>2</v>
      </c>
      <c r="B1" s="607"/>
      <c r="C1" s="608"/>
      <c r="D1" s="608"/>
      <c r="E1" s="608"/>
      <c r="F1" s="608"/>
      <c r="G1" s="608"/>
      <c r="H1" s="463"/>
      <c r="I1" s="463"/>
      <c r="J1" s="463"/>
      <c r="K1" s="463"/>
      <c r="L1" s="463"/>
      <c r="M1" s="463"/>
      <c r="N1" s="463"/>
      <c r="O1" s="463"/>
      <c r="P1" s="463"/>
      <c r="Q1" s="463"/>
    </row>
    <row r="4" spans="1:38" ht="24" customHeight="1">
      <c r="A4" s="508" t="str">
        <f>"Schedules - "&amp;Prototype!A3</f>
        <v>Schedules - Controlled Environment Horticulture</v>
      </c>
      <c r="B4" s="508"/>
      <c r="C4" s="508"/>
      <c r="D4" s="508"/>
      <c r="E4" s="508"/>
      <c r="F4" s="508"/>
      <c r="G4" s="508"/>
      <c r="H4" s="508"/>
      <c r="I4" s="508"/>
      <c r="J4" s="508"/>
      <c r="K4" s="508"/>
      <c r="L4" s="508"/>
      <c r="M4" s="508"/>
      <c r="N4" s="508"/>
      <c r="O4" s="508"/>
      <c r="P4" s="508"/>
      <c r="Q4" s="508"/>
      <c r="R4" s="508"/>
      <c r="S4" s="508"/>
      <c r="T4" s="508"/>
      <c r="U4" s="508"/>
      <c r="V4" s="508"/>
      <c r="W4" s="508"/>
      <c r="X4" s="508"/>
      <c r="Y4" s="508"/>
      <c r="Z4" s="508"/>
      <c r="AA4" s="508"/>
      <c r="AB4" s="508"/>
      <c r="AC4" s="184"/>
      <c r="AD4" s="184"/>
      <c r="AE4" s="184"/>
      <c r="AF4" s="184"/>
      <c r="AG4" s="184"/>
      <c r="AH4" s="185"/>
      <c r="AI4" s="185"/>
      <c r="AJ4" s="185"/>
    </row>
    <row r="5" spans="1:38" ht="24" customHeight="1">
      <c r="A5" s="567" t="s">
        <v>654</v>
      </c>
      <c r="B5" s="567" t="s">
        <v>125</v>
      </c>
      <c r="C5" s="567" t="s">
        <v>655</v>
      </c>
      <c r="D5" s="567" t="s">
        <v>656</v>
      </c>
      <c r="E5" s="569" t="s">
        <v>351</v>
      </c>
      <c r="F5" s="569"/>
      <c r="G5" s="569"/>
      <c r="H5" s="569"/>
      <c r="I5" s="569"/>
      <c r="J5" s="569"/>
      <c r="K5" s="569"/>
      <c r="L5" s="569"/>
      <c r="M5" s="569"/>
      <c r="N5" s="569"/>
      <c r="O5" s="569"/>
      <c r="P5" s="569"/>
      <c r="Q5" s="569"/>
      <c r="R5" s="569"/>
      <c r="S5" s="569"/>
      <c r="T5" s="569"/>
      <c r="U5" s="569"/>
      <c r="V5" s="569"/>
      <c r="W5" s="569"/>
      <c r="X5" s="569"/>
      <c r="Y5" s="569"/>
      <c r="Z5" s="569"/>
      <c r="AA5" s="569"/>
      <c r="AB5" s="569"/>
      <c r="AC5" s="184"/>
      <c r="AD5" s="184"/>
      <c r="AE5" s="184"/>
      <c r="AF5" s="184"/>
      <c r="AG5" s="184"/>
      <c r="AH5" s="185"/>
      <c r="AI5" s="185"/>
      <c r="AJ5" s="185"/>
    </row>
    <row r="6" spans="1:38" ht="37.700000000000003" customHeight="1" thickBot="1">
      <c r="A6" s="568"/>
      <c r="B6" s="568"/>
      <c r="C6" s="568"/>
      <c r="D6" s="568"/>
      <c r="E6" s="226">
        <v>1</v>
      </c>
      <c r="F6" s="226">
        <v>2</v>
      </c>
      <c r="G6" s="226">
        <v>3</v>
      </c>
      <c r="H6" s="226">
        <v>4</v>
      </c>
      <c r="I6" s="226">
        <v>5</v>
      </c>
      <c r="J6" s="226">
        <v>6</v>
      </c>
      <c r="K6" s="226">
        <v>7</v>
      </c>
      <c r="L6" s="226">
        <v>8</v>
      </c>
      <c r="M6" s="226">
        <v>9</v>
      </c>
      <c r="N6" s="226">
        <v>10</v>
      </c>
      <c r="O6" s="226">
        <v>11</v>
      </c>
      <c r="P6" s="226">
        <v>12</v>
      </c>
      <c r="Q6" s="226">
        <v>13</v>
      </c>
      <c r="R6" s="226">
        <v>14</v>
      </c>
      <c r="S6" s="226">
        <v>15</v>
      </c>
      <c r="T6" s="226">
        <v>16</v>
      </c>
      <c r="U6" s="226">
        <v>17</v>
      </c>
      <c r="V6" s="226">
        <v>18</v>
      </c>
      <c r="W6" s="226">
        <v>19</v>
      </c>
      <c r="X6" s="226">
        <v>20</v>
      </c>
      <c r="Y6" s="226">
        <v>21</v>
      </c>
      <c r="Z6" s="226">
        <v>22</v>
      </c>
      <c r="AA6" s="226">
        <v>23</v>
      </c>
      <c r="AB6" s="226">
        <v>24</v>
      </c>
      <c r="AC6" s="185"/>
      <c r="AD6" s="185"/>
      <c r="AE6" s="185"/>
      <c r="AF6" s="185"/>
      <c r="AG6" s="185"/>
      <c r="AH6" s="185"/>
      <c r="AI6" s="185"/>
      <c r="AJ6" s="185"/>
    </row>
    <row r="7" spans="1:38" ht="20.100000000000001" customHeight="1">
      <c r="A7" s="564" t="s">
        <v>657</v>
      </c>
      <c r="B7" s="552" t="s">
        <v>658</v>
      </c>
      <c r="C7" s="570" t="s">
        <v>659</v>
      </c>
      <c r="D7" s="361" t="s">
        <v>522</v>
      </c>
      <c r="E7" s="362">
        <v>0</v>
      </c>
      <c r="F7" s="362">
        <v>0</v>
      </c>
      <c r="G7" s="362">
        <v>0</v>
      </c>
      <c r="H7" s="362">
        <v>0</v>
      </c>
      <c r="I7" s="362">
        <v>0</v>
      </c>
      <c r="J7" s="362">
        <v>0</v>
      </c>
      <c r="K7" s="362">
        <v>0.1</v>
      </c>
      <c r="L7" s="362">
        <v>0.2</v>
      </c>
      <c r="M7" s="362">
        <v>0.95</v>
      </c>
      <c r="N7" s="362">
        <v>0.95</v>
      </c>
      <c r="O7" s="362">
        <v>0.95</v>
      </c>
      <c r="P7" s="362">
        <v>0.95</v>
      </c>
      <c r="Q7" s="362">
        <v>0.5</v>
      </c>
      <c r="R7" s="362">
        <v>0.95</v>
      </c>
      <c r="S7" s="362">
        <v>0.95</v>
      </c>
      <c r="T7" s="362">
        <v>0.95</v>
      </c>
      <c r="U7" s="362">
        <v>0.95</v>
      </c>
      <c r="V7" s="362">
        <v>0.3</v>
      </c>
      <c r="W7" s="362">
        <v>0.1</v>
      </c>
      <c r="X7" s="362">
        <v>0.1</v>
      </c>
      <c r="Y7" s="362">
        <v>0.1</v>
      </c>
      <c r="Z7" s="362">
        <v>0.1</v>
      </c>
      <c r="AA7" s="362">
        <v>0.05</v>
      </c>
      <c r="AB7" s="363">
        <v>0.05</v>
      </c>
      <c r="AC7" s="185"/>
      <c r="AD7" s="185"/>
      <c r="AE7" s="185"/>
      <c r="AF7" s="185"/>
      <c r="AG7" s="185"/>
      <c r="AH7" s="185"/>
      <c r="AI7" s="185"/>
      <c r="AJ7" s="185"/>
    </row>
    <row r="8" spans="1:38" ht="20.100000000000001" customHeight="1">
      <c r="A8" s="565"/>
      <c r="B8" s="553"/>
      <c r="C8" s="571"/>
      <c r="D8" s="303" t="s">
        <v>353</v>
      </c>
      <c r="E8" s="304">
        <v>0</v>
      </c>
      <c r="F8" s="304">
        <v>0</v>
      </c>
      <c r="G8" s="304">
        <v>0</v>
      </c>
      <c r="H8" s="304">
        <v>0</v>
      </c>
      <c r="I8" s="304">
        <v>0</v>
      </c>
      <c r="J8" s="304">
        <v>0</v>
      </c>
      <c r="K8" s="304">
        <v>0.1</v>
      </c>
      <c r="L8" s="304">
        <v>0.1</v>
      </c>
      <c r="M8" s="304">
        <v>0.3</v>
      </c>
      <c r="N8" s="304">
        <v>0.3</v>
      </c>
      <c r="O8" s="304">
        <v>0.3</v>
      </c>
      <c r="P8" s="304">
        <v>0.3</v>
      </c>
      <c r="Q8" s="304">
        <v>0.1</v>
      </c>
      <c r="R8" s="304">
        <v>0.1</v>
      </c>
      <c r="S8" s="304">
        <v>0.1</v>
      </c>
      <c r="T8" s="304">
        <v>0.1</v>
      </c>
      <c r="U8" s="304">
        <v>0.1</v>
      </c>
      <c r="V8" s="304">
        <v>0.05</v>
      </c>
      <c r="W8" s="304">
        <v>0.05</v>
      </c>
      <c r="X8" s="304">
        <v>0</v>
      </c>
      <c r="Y8" s="304">
        <v>0</v>
      </c>
      <c r="Z8" s="304">
        <v>0</v>
      </c>
      <c r="AA8" s="304">
        <v>0</v>
      </c>
      <c r="AB8" s="364">
        <v>0</v>
      </c>
      <c r="AC8" s="185"/>
      <c r="AD8" s="185"/>
      <c r="AE8" s="185"/>
      <c r="AF8" s="185"/>
      <c r="AG8" s="185"/>
      <c r="AH8" s="185"/>
      <c r="AI8" s="185"/>
      <c r="AJ8" s="185"/>
    </row>
    <row r="9" spans="1:38" ht="20.100000000000001" customHeight="1" thickBot="1">
      <c r="A9" s="566"/>
      <c r="B9" s="554"/>
      <c r="C9" s="572"/>
      <c r="D9" s="365" t="s">
        <v>354</v>
      </c>
      <c r="E9" s="366">
        <v>0</v>
      </c>
      <c r="F9" s="366">
        <v>0</v>
      </c>
      <c r="G9" s="366">
        <v>0</v>
      </c>
      <c r="H9" s="366">
        <v>0</v>
      </c>
      <c r="I9" s="366">
        <v>0</v>
      </c>
      <c r="J9" s="366">
        <v>0</v>
      </c>
      <c r="K9" s="366">
        <v>0.05</v>
      </c>
      <c r="L9" s="366">
        <v>0.05</v>
      </c>
      <c r="M9" s="366">
        <v>0.05</v>
      </c>
      <c r="N9" s="366">
        <v>0.05</v>
      </c>
      <c r="O9" s="366">
        <v>0.05</v>
      </c>
      <c r="P9" s="366">
        <v>0.05</v>
      </c>
      <c r="Q9" s="366">
        <v>0.05</v>
      </c>
      <c r="R9" s="366">
        <v>0.05</v>
      </c>
      <c r="S9" s="366">
        <v>0.05</v>
      </c>
      <c r="T9" s="366">
        <v>0.05</v>
      </c>
      <c r="U9" s="366">
        <v>0.05</v>
      </c>
      <c r="V9" s="366">
        <v>0.05</v>
      </c>
      <c r="W9" s="366">
        <v>0</v>
      </c>
      <c r="X9" s="366">
        <v>0</v>
      </c>
      <c r="Y9" s="366">
        <v>0</v>
      </c>
      <c r="Z9" s="366">
        <v>0</v>
      </c>
      <c r="AA9" s="366">
        <v>0</v>
      </c>
      <c r="AB9" s="367">
        <v>0</v>
      </c>
      <c r="AC9" s="185"/>
      <c r="AD9" s="185"/>
      <c r="AE9" s="185"/>
      <c r="AF9" s="185"/>
      <c r="AG9" s="185"/>
      <c r="AH9" s="185"/>
      <c r="AI9" s="185"/>
      <c r="AJ9" s="185"/>
    </row>
    <row r="10" spans="1:38" ht="20.100000000000001" customHeight="1">
      <c r="A10" s="564" t="s">
        <v>660</v>
      </c>
      <c r="B10" s="552" t="s">
        <v>658</v>
      </c>
      <c r="C10" s="570" t="s">
        <v>659</v>
      </c>
      <c r="D10" s="368" t="s">
        <v>522</v>
      </c>
      <c r="E10" s="362">
        <v>0.05</v>
      </c>
      <c r="F10" s="362">
        <v>0.05</v>
      </c>
      <c r="G10" s="362">
        <v>0.05</v>
      </c>
      <c r="H10" s="362">
        <v>0.05</v>
      </c>
      <c r="I10" s="362">
        <v>0.05</v>
      </c>
      <c r="J10" s="362">
        <v>0.1</v>
      </c>
      <c r="K10" s="362">
        <v>0.1</v>
      </c>
      <c r="L10" s="362">
        <v>0.3</v>
      </c>
      <c r="M10" s="362">
        <v>0.65</v>
      </c>
      <c r="N10" s="362">
        <v>0.65</v>
      </c>
      <c r="O10" s="362">
        <v>0.65</v>
      </c>
      <c r="P10" s="362">
        <v>0.65</v>
      </c>
      <c r="Q10" s="362">
        <v>0.65</v>
      </c>
      <c r="R10" s="362">
        <v>0.65</v>
      </c>
      <c r="S10" s="362">
        <v>0.65</v>
      </c>
      <c r="T10" s="362">
        <v>0.65</v>
      </c>
      <c r="U10" s="362">
        <v>0.65</v>
      </c>
      <c r="V10" s="362">
        <v>0.35</v>
      </c>
      <c r="W10" s="362">
        <v>0.3</v>
      </c>
      <c r="X10" s="362">
        <v>0.3</v>
      </c>
      <c r="Y10" s="362">
        <v>0.2</v>
      </c>
      <c r="Z10" s="362">
        <v>0.2</v>
      </c>
      <c r="AA10" s="362">
        <v>0.1</v>
      </c>
      <c r="AB10" s="363">
        <v>0.05</v>
      </c>
      <c r="AC10" s="185"/>
      <c r="AD10" s="185"/>
      <c r="AE10" s="185"/>
      <c r="AF10" s="185"/>
      <c r="AG10" s="185"/>
      <c r="AH10" s="185"/>
      <c r="AI10" s="185"/>
      <c r="AJ10" s="185"/>
    </row>
    <row r="11" spans="1:38" ht="20.100000000000001" customHeight="1">
      <c r="A11" s="565"/>
      <c r="B11" s="553"/>
      <c r="C11" s="571"/>
      <c r="D11" s="305" t="s">
        <v>353</v>
      </c>
      <c r="E11" s="304">
        <v>0.05</v>
      </c>
      <c r="F11" s="304">
        <v>0.05</v>
      </c>
      <c r="G11" s="304">
        <v>0.05</v>
      </c>
      <c r="H11" s="304">
        <v>0.05</v>
      </c>
      <c r="I11" s="304">
        <v>0.05</v>
      </c>
      <c r="J11" s="304">
        <v>0.05</v>
      </c>
      <c r="K11" s="304">
        <v>0.1</v>
      </c>
      <c r="L11" s="304">
        <v>0.1</v>
      </c>
      <c r="M11" s="304">
        <v>0.3</v>
      </c>
      <c r="N11" s="304">
        <v>0.3</v>
      </c>
      <c r="O11" s="304">
        <v>0.3</v>
      </c>
      <c r="P11" s="304">
        <v>0.3</v>
      </c>
      <c r="Q11" s="304">
        <v>0.15</v>
      </c>
      <c r="R11" s="304">
        <v>0.15</v>
      </c>
      <c r="S11" s="304">
        <v>0.15</v>
      </c>
      <c r="T11" s="304">
        <v>0.15</v>
      </c>
      <c r="U11" s="304">
        <v>0.15</v>
      </c>
      <c r="V11" s="304">
        <v>0.05</v>
      </c>
      <c r="W11" s="304">
        <v>0.05</v>
      </c>
      <c r="X11" s="304">
        <v>0.05</v>
      </c>
      <c r="Y11" s="304">
        <v>0.05</v>
      </c>
      <c r="Z11" s="304">
        <v>0.05</v>
      </c>
      <c r="AA11" s="304">
        <v>0.05</v>
      </c>
      <c r="AB11" s="364">
        <v>0.05</v>
      </c>
      <c r="AC11" s="185"/>
      <c r="AD11" s="185"/>
      <c r="AE11" s="185"/>
      <c r="AF11" s="185"/>
      <c r="AG11" s="185"/>
      <c r="AH11" s="185"/>
      <c r="AI11" s="185"/>
      <c r="AJ11" s="185"/>
    </row>
    <row r="12" spans="1:38" ht="20.100000000000001" customHeight="1" thickBot="1">
      <c r="A12" s="566"/>
      <c r="B12" s="554"/>
      <c r="C12" s="572"/>
      <c r="D12" s="369" t="s">
        <v>354</v>
      </c>
      <c r="E12" s="366">
        <v>0.05</v>
      </c>
      <c r="F12" s="366">
        <v>0.05</v>
      </c>
      <c r="G12" s="366">
        <v>0.05</v>
      </c>
      <c r="H12" s="366">
        <v>0.05</v>
      </c>
      <c r="I12" s="366">
        <v>0.05</v>
      </c>
      <c r="J12" s="366">
        <v>0.05</v>
      </c>
      <c r="K12" s="366">
        <v>0.05</v>
      </c>
      <c r="L12" s="366">
        <v>0.05</v>
      </c>
      <c r="M12" s="366">
        <v>0.05</v>
      </c>
      <c r="N12" s="366">
        <v>0.05</v>
      </c>
      <c r="O12" s="366">
        <v>0.05</v>
      </c>
      <c r="P12" s="366">
        <v>0.05</v>
      </c>
      <c r="Q12" s="366">
        <v>0.05</v>
      </c>
      <c r="R12" s="366">
        <v>0.05</v>
      </c>
      <c r="S12" s="366">
        <v>0.05</v>
      </c>
      <c r="T12" s="366">
        <v>0.05</v>
      </c>
      <c r="U12" s="366">
        <v>0.05</v>
      </c>
      <c r="V12" s="366">
        <v>0.05</v>
      </c>
      <c r="W12" s="366">
        <v>0.05</v>
      </c>
      <c r="X12" s="366">
        <v>0.05</v>
      </c>
      <c r="Y12" s="366">
        <v>0.05</v>
      </c>
      <c r="Z12" s="366">
        <v>0.05</v>
      </c>
      <c r="AA12" s="366">
        <v>0.05</v>
      </c>
      <c r="AB12" s="367">
        <v>0.05</v>
      </c>
      <c r="AC12" s="185"/>
      <c r="AD12" s="185"/>
      <c r="AE12" s="185"/>
      <c r="AF12" s="185"/>
      <c r="AG12" s="185"/>
      <c r="AH12" s="185"/>
      <c r="AI12" s="185"/>
      <c r="AJ12" s="185"/>
    </row>
    <row r="13" spans="1:38" ht="20.100000000000001" customHeight="1">
      <c r="A13" s="564" t="s">
        <v>661</v>
      </c>
      <c r="B13" s="552" t="s">
        <v>658</v>
      </c>
      <c r="C13" s="570" t="s">
        <v>659</v>
      </c>
      <c r="D13" s="368" t="s">
        <v>522</v>
      </c>
      <c r="E13" s="370">
        <v>0</v>
      </c>
      <c r="F13" s="370">
        <v>0</v>
      </c>
      <c r="G13" s="370">
        <v>0</v>
      </c>
      <c r="H13" s="370">
        <v>0</v>
      </c>
      <c r="I13" s="370">
        <v>0</v>
      </c>
      <c r="J13" s="370">
        <v>1</v>
      </c>
      <c r="K13" s="370">
        <v>1</v>
      </c>
      <c r="L13" s="370">
        <v>1</v>
      </c>
      <c r="M13" s="370">
        <v>1</v>
      </c>
      <c r="N13" s="370">
        <v>1</v>
      </c>
      <c r="O13" s="370">
        <v>1</v>
      </c>
      <c r="P13" s="370">
        <v>1</v>
      </c>
      <c r="Q13" s="370">
        <v>1</v>
      </c>
      <c r="R13" s="370">
        <v>1</v>
      </c>
      <c r="S13" s="370">
        <v>1</v>
      </c>
      <c r="T13" s="370">
        <v>1</v>
      </c>
      <c r="U13" s="370">
        <v>1</v>
      </c>
      <c r="V13" s="370">
        <v>1</v>
      </c>
      <c r="W13" s="370">
        <v>1</v>
      </c>
      <c r="X13" s="370">
        <v>1</v>
      </c>
      <c r="Y13" s="370">
        <v>1</v>
      </c>
      <c r="Z13" s="370">
        <v>1</v>
      </c>
      <c r="AA13" s="370">
        <v>1</v>
      </c>
      <c r="AB13" s="371">
        <v>1</v>
      </c>
      <c r="AC13" s="185"/>
      <c r="AD13" s="185"/>
      <c r="AE13" s="185"/>
      <c r="AF13" s="185"/>
      <c r="AG13" s="185"/>
      <c r="AH13" s="185"/>
      <c r="AI13" s="185"/>
      <c r="AJ13" s="185"/>
      <c r="AL13" s="193"/>
    </row>
    <row r="14" spans="1:38" ht="20.100000000000001" customHeight="1">
      <c r="A14" s="565"/>
      <c r="B14" s="553"/>
      <c r="C14" s="571"/>
      <c r="D14" s="305" t="s">
        <v>353</v>
      </c>
      <c r="E14" s="306">
        <v>0</v>
      </c>
      <c r="F14" s="306">
        <v>0</v>
      </c>
      <c r="G14" s="306">
        <v>0</v>
      </c>
      <c r="H14" s="306">
        <v>0</v>
      </c>
      <c r="I14" s="306">
        <v>0</v>
      </c>
      <c r="J14" s="306">
        <v>1</v>
      </c>
      <c r="K14" s="306">
        <v>1</v>
      </c>
      <c r="L14" s="306">
        <v>1</v>
      </c>
      <c r="M14" s="306">
        <v>1</v>
      </c>
      <c r="N14" s="306">
        <v>1</v>
      </c>
      <c r="O14" s="306">
        <v>1</v>
      </c>
      <c r="P14" s="306">
        <v>1</v>
      </c>
      <c r="Q14" s="306">
        <v>1</v>
      </c>
      <c r="R14" s="306">
        <v>1</v>
      </c>
      <c r="S14" s="306">
        <v>1</v>
      </c>
      <c r="T14" s="306">
        <v>1</v>
      </c>
      <c r="U14" s="306">
        <v>1</v>
      </c>
      <c r="V14" s="306">
        <v>1</v>
      </c>
      <c r="W14" s="306">
        <v>1</v>
      </c>
      <c r="X14" s="306">
        <v>0</v>
      </c>
      <c r="Y14" s="306">
        <v>0</v>
      </c>
      <c r="Z14" s="306">
        <v>0</v>
      </c>
      <c r="AA14" s="306">
        <v>0</v>
      </c>
      <c r="AB14" s="372">
        <v>0</v>
      </c>
      <c r="AC14" s="185"/>
      <c r="AD14" s="185"/>
      <c r="AE14" s="185"/>
      <c r="AF14" s="185"/>
      <c r="AG14" s="185"/>
      <c r="AH14" s="185"/>
      <c r="AI14" s="185"/>
      <c r="AJ14" s="185"/>
      <c r="AL14" s="193"/>
    </row>
    <row r="15" spans="1:38" ht="20.100000000000001" customHeight="1" thickBot="1">
      <c r="A15" s="566"/>
      <c r="B15" s="554"/>
      <c r="C15" s="572"/>
      <c r="D15" s="369" t="s">
        <v>354</v>
      </c>
      <c r="E15" s="373">
        <v>0</v>
      </c>
      <c r="F15" s="373">
        <v>0</v>
      </c>
      <c r="G15" s="373">
        <v>0</v>
      </c>
      <c r="H15" s="373">
        <v>0</v>
      </c>
      <c r="I15" s="373">
        <v>0</v>
      </c>
      <c r="J15" s="373">
        <v>0</v>
      </c>
      <c r="K15" s="373">
        <v>0</v>
      </c>
      <c r="L15" s="373">
        <v>0</v>
      </c>
      <c r="M15" s="373">
        <v>0</v>
      </c>
      <c r="N15" s="373">
        <v>0</v>
      </c>
      <c r="O15" s="373">
        <v>0</v>
      </c>
      <c r="P15" s="373">
        <v>0</v>
      </c>
      <c r="Q15" s="373">
        <v>0</v>
      </c>
      <c r="R15" s="373">
        <v>0</v>
      </c>
      <c r="S15" s="373">
        <v>0</v>
      </c>
      <c r="T15" s="373">
        <v>0</v>
      </c>
      <c r="U15" s="373">
        <v>0</v>
      </c>
      <c r="V15" s="373">
        <v>0</v>
      </c>
      <c r="W15" s="373">
        <v>0</v>
      </c>
      <c r="X15" s="373">
        <v>0</v>
      </c>
      <c r="Y15" s="373">
        <v>0</v>
      </c>
      <c r="Z15" s="373">
        <v>0</v>
      </c>
      <c r="AA15" s="373">
        <v>0</v>
      </c>
      <c r="AB15" s="374">
        <v>0</v>
      </c>
      <c r="AC15" s="185"/>
      <c r="AD15" s="185"/>
      <c r="AE15" s="185"/>
      <c r="AF15" s="185"/>
      <c r="AG15" s="185"/>
      <c r="AH15" s="185"/>
      <c r="AI15" s="185"/>
      <c r="AJ15" s="185"/>
      <c r="AL15" s="193"/>
    </row>
    <row r="16" spans="1:38" ht="20.100000000000001" customHeight="1">
      <c r="A16" s="564" t="s">
        <v>662</v>
      </c>
      <c r="B16" s="552" t="s">
        <v>658</v>
      </c>
      <c r="C16" s="570" t="s">
        <v>659</v>
      </c>
      <c r="D16" s="368" t="s">
        <v>522</v>
      </c>
      <c r="E16" s="362">
        <v>1</v>
      </c>
      <c r="F16" s="362">
        <v>1</v>
      </c>
      <c r="G16" s="362">
        <v>1</v>
      </c>
      <c r="H16" s="362">
        <v>1</v>
      </c>
      <c r="I16" s="362">
        <v>1</v>
      </c>
      <c r="J16" s="362">
        <v>0.25</v>
      </c>
      <c r="K16" s="362">
        <v>0.25</v>
      </c>
      <c r="L16" s="362">
        <v>0.25</v>
      </c>
      <c r="M16" s="362">
        <v>0.25</v>
      </c>
      <c r="N16" s="362">
        <v>0.25</v>
      </c>
      <c r="O16" s="362">
        <v>0.25</v>
      </c>
      <c r="P16" s="362">
        <v>0.25</v>
      </c>
      <c r="Q16" s="362">
        <v>0.25</v>
      </c>
      <c r="R16" s="362">
        <v>0.25</v>
      </c>
      <c r="S16" s="362">
        <v>0.25</v>
      </c>
      <c r="T16" s="362">
        <v>0.25</v>
      </c>
      <c r="U16" s="362">
        <v>0.25</v>
      </c>
      <c r="V16" s="362">
        <v>0.25</v>
      </c>
      <c r="W16" s="362">
        <v>0.25</v>
      </c>
      <c r="X16" s="362">
        <v>0.25</v>
      </c>
      <c r="Y16" s="362">
        <v>0.25</v>
      </c>
      <c r="Z16" s="362">
        <v>0.25</v>
      </c>
      <c r="AA16" s="362">
        <v>0.25</v>
      </c>
      <c r="AB16" s="363">
        <v>0.25</v>
      </c>
      <c r="AC16" s="185"/>
      <c r="AD16" s="185"/>
      <c r="AE16" s="185"/>
      <c r="AF16" s="185"/>
      <c r="AG16" s="185"/>
      <c r="AH16" s="185"/>
      <c r="AI16" s="185"/>
      <c r="AJ16" s="185"/>
      <c r="AL16" s="193"/>
    </row>
    <row r="17" spans="1:38" ht="20.100000000000001" customHeight="1">
      <c r="A17" s="565"/>
      <c r="B17" s="553"/>
      <c r="C17" s="571"/>
      <c r="D17" s="305" t="s">
        <v>353</v>
      </c>
      <c r="E17" s="304">
        <v>1</v>
      </c>
      <c r="F17" s="304">
        <v>1</v>
      </c>
      <c r="G17" s="304">
        <v>1</v>
      </c>
      <c r="H17" s="304">
        <v>1</v>
      </c>
      <c r="I17" s="304">
        <v>1</v>
      </c>
      <c r="J17" s="304">
        <v>0.25</v>
      </c>
      <c r="K17" s="304">
        <v>0.25</v>
      </c>
      <c r="L17" s="304">
        <v>0.25</v>
      </c>
      <c r="M17" s="304">
        <v>0.25</v>
      </c>
      <c r="N17" s="304">
        <v>0.25</v>
      </c>
      <c r="O17" s="304">
        <v>0.25</v>
      </c>
      <c r="P17" s="304">
        <v>0.25</v>
      </c>
      <c r="Q17" s="304">
        <v>0.25</v>
      </c>
      <c r="R17" s="304">
        <v>0.25</v>
      </c>
      <c r="S17" s="304">
        <v>0.25</v>
      </c>
      <c r="T17" s="304">
        <v>0.25</v>
      </c>
      <c r="U17" s="304">
        <v>0.25</v>
      </c>
      <c r="V17" s="304">
        <v>0.25</v>
      </c>
      <c r="W17" s="304">
        <v>0.25</v>
      </c>
      <c r="X17" s="304">
        <v>1</v>
      </c>
      <c r="Y17" s="304">
        <v>1</v>
      </c>
      <c r="Z17" s="304">
        <v>1</v>
      </c>
      <c r="AA17" s="304">
        <v>1</v>
      </c>
      <c r="AB17" s="364">
        <v>1</v>
      </c>
      <c r="AC17" s="185"/>
      <c r="AD17" s="185"/>
      <c r="AE17" s="185"/>
      <c r="AF17" s="185"/>
      <c r="AG17" s="185"/>
      <c r="AH17" s="185"/>
      <c r="AI17" s="185"/>
      <c r="AJ17" s="185"/>
      <c r="AL17" s="193"/>
    </row>
    <row r="18" spans="1:38" ht="20.100000000000001" customHeight="1" thickBot="1">
      <c r="A18" s="566"/>
      <c r="B18" s="554"/>
      <c r="C18" s="572"/>
      <c r="D18" s="369" t="s">
        <v>354</v>
      </c>
      <c r="E18" s="366">
        <v>1</v>
      </c>
      <c r="F18" s="366">
        <v>1</v>
      </c>
      <c r="G18" s="366">
        <v>1</v>
      </c>
      <c r="H18" s="366">
        <v>1</v>
      </c>
      <c r="I18" s="366">
        <v>1</v>
      </c>
      <c r="J18" s="366">
        <v>1</v>
      </c>
      <c r="K18" s="366">
        <v>1</v>
      </c>
      <c r="L18" s="366">
        <v>1</v>
      </c>
      <c r="M18" s="366">
        <v>1</v>
      </c>
      <c r="N18" s="366">
        <v>1</v>
      </c>
      <c r="O18" s="366">
        <v>1</v>
      </c>
      <c r="P18" s="366">
        <v>1</v>
      </c>
      <c r="Q18" s="366">
        <v>1</v>
      </c>
      <c r="R18" s="366">
        <v>1</v>
      </c>
      <c r="S18" s="366">
        <v>1</v>
      </c>
      <c r="T18" s="366">
        <v>1</v>
      </c>
      <c r="U18" s="366">
        <v>1</v>
      </c>
      <c r="V18" s="366">
        <v>1</v>
      </c>
      <c r="W18" s="366">
        <v>1</v>
      </c>
      <c r="X18" s="366">
        <v>1</v>
      </c>
      <c r="Y18" s="366">
        <v>1</v>
      </c>
      <c r="Z18" s="366">
        <v>1</v>
      </c>
      <c r="AA18" s="366">
        <v>1</v>
      </c>
      <c r="AB18" s="367">
        <v>1</v>
      </c>
      <c r="AC18" s="185"/>
      <c r="AD18" s="185"/>
      <c r="AE18" s="185"/>
      <c r="AF18" s="185"/>
      <c r="AG18" s="185"/>
      <c r="AH18" s="185"/>
      <c r="AI18" s="185"/>
      <c r="AJ18" s="185"/>
      <c r="AL18" s="193"/>
    </row>
    <row r="19" spans="1:38" ht="20.100000000000001" customHeight="1">
      <c r="A19" s="564" t="s">
        <v>663</v>
      </c>
      <c r="B19" s="552" t="s">
        <v>664</v>
      </c>
      <c r="C19" s="552" t="s">
        <v>665</v>
      </c>
      <c r="D19" s="368" t="s">
        <v>522</v>
      </c>
      <c r="E19" s="362">
        <v>0</v>
      </c>
      <c r="F19" s="362">
        <v>0</v>
      </c>
      <c r="G19" s="362">
        <v>0</v>
      </c>
      <c r="H19" s="362">
        <v>0</v>
      </c>
      <c r="I19" s="362">
        <v>0</v>
      </c>
      <c r="J19" s="362">
        <v>0</v>
      </c>
      <c r="K19" s="362">
        <v>0</v>
      </c>
      <c r="L19" s="362">
        <v>0.15</v>
      </c>
      <c r="M19" s="362">
        <v>0.7</v>
      </c>
      <c r="N19" s="362">
        <v>0.9</v>
      </c>
      <c r="O19" s="362">
        <v>0.9</v>
      </c>
      <c r="P19" s="362">
        <v>0.9</v>
      </c>
      <c r="Q19" s="362">
        <v>0.5</v>
      </c>
      <c r="R19" s="362">
        <v>0.85</v>
      </c>
      <c r="S19" s="362">
        <v>0.85</v>
      </c>
      <c r="T19" s="362">
        <v>0.85</v>
      </c>
      <c r="U19" s="362">
        <v>0.2</v>
      </c>
      <c r="V19" s="362">
        <v>0</v>
      </c>
      <c r="W19" s="362">
        <v>0</v>
      </c>
      <c r="X19" s="362">
        <v>0</v>
      </c>
      <c r="Y19" s="362">
        <v>0</v>
      </c>
      <c r="Z19" s="362">
        <v>0</v>
      </c>
      <c r="AA19" s="362">
        <v>0</v>
      </c>
      <c r="AB19" s="363">
        <v>0</v>
      </c>
      <c r="AC19" s="185"/>
      <c r="AD19" s="185"/>
      <c r="AE19" s="185"/>
      <c r="AF19" s="185"/>
      <c r="AG19" s="185"/>
      <c r="AH19" s="185"/>
      <c r="AI19" s="185"/>
      <c r="AJ19" s="185"/>
      <c r="AL19" s="193"/>
    </row>
    <row r="20" spans="1:38" ht="20.100000000000001" customHeight="1">
      <c r="A20" s="565"/>
      <c r="B20" s="553"/>
      <c r="C20" s="553"/>
      <c r="D20" s="305" t="s">
        <v>353</v>
      </c>
      <c r="E20" s="304">
        <v>0</v>
      </c>
      <c r="F20" s="304">
        <v>0</v>
      </c>
      <c r="G20" s="304">
        <v>0</v>
      </c>
      <c r="H20" s="304">
        <v>0</v>
      </c>
      <c r="I20" s="304">
        <v>0</v>
      </c>
      <c r="J20" s="304">
        <v>0</v>
      </c>
      <c r="K20" s="304">
        <v>0</v>
      </c>
      <c r="L20" s="304">
        <v>0</v>
      </c>
      <c r="M20" s="304">
        <v>0.2</v>
      </c>
      <c r="N20" s="304">
        <v>0.2</v>
      </c>
      <c r="O20" s="304">
        <v>0.2</v>
      </c>
      <c r="P20" s="304">
        <v>0.2</v>
      </c>
      <c r="Q20" s="304">
        <v>0.1</v>
      </c>
      <c r="R20" s="304">
        <v>0.1</v>
      </c>
      <c r="S20" s="304">
        <v>0.1</v>
      </c>
      <c r="T20" s="304">
        <v>0.1</v>
      </c>
      <c r="U20" s="304">
        <v>0</v>
      </c>
      <c r="V20" s="304">
        <v>0</v>
      </c>
      <c r="W20" s="304">
        <v>0</v>
      </c>
      <c r="X20" s="304">
        <v>0</v>
      </c>
      <c r="Y20" s="304">
        <v>0</v>
      </c>
      <c r="Z20" s="304">
        <v>0</v>
      </c>
      <c r="AA20" s="304">
        <v>0</v>
      </c>
      <c r="AB20" s="364">
        <v>0</v>
      </c>
      <c r="AC20" s="185"/>
      <c r="AD20" s="185"/>
      <c r="AE20" s="185"/>
      <c r="AF20" s="185"/>
      <c r="AG20" s="185"/>
      <c r="AH20" s="185"/>
      <c r="AI20" s="185"/>
      <c r="AJ20" s="185"/>
      <c r="AL20" s="193"/>
    </row>
    <row r="21" spans="1:38" ht="20.100000000000001" customHeight="1" thickBot="1">
      <c r="A21" s="566"/>
      <c r="B21" s="554"/>
      <c r="C21" s="554"/>
      <c r="D21" s="369" t="s">
        <v>354</v>
      </c>
      <c r="E21" s="366">
        <v>0</v>
      </c>
      <c r="F21" s="366">
        <v>0</v>
      </c>
      <c r="G21" s="366">
        <v>0</v>
      </c>
      <c r="H21" s="366">
        <v>0</v>
      </c>
      <c r="I21" s="366">
        <v>0</v>
      </c>
      <c r="J21" s="366">
        <v>0</v>
      </c>
      <c r="K21" s="366">
        <v>0</v>
      </c>
      <c r="L21" s="366">
        <v>0</v>
      </c>
      <c r="M21" s="366">
        <v>0</v>
      </c>
      <c r="N21" s="366">
        <v>0</v>
      </c>
      <c r="O21" s="366">
        <v>0</v>
      </c>
      <c r="P21" s="366">
        <v>0</v>
      </c>
      <c r="Q21" s="366">
        <v>0</v>
      </c>
      <c r="R21" s="366">
        <v>0</v>
      </c>
      <c r="S21" s="366">
        <v>0</v>
      </c>
      <c r="T21" s="366">
        <v>0</v>
      </c>
      <c r="U21" s="366">
        <v>0</v>
      </c>
      <c r="V21" s="366">
        <v>0</v>
      </c>
      <c r="W21" s="366">
        <v>0</v>
      </c>
      <c r="X21" s="366">
        <v>0</v>
      </c>
      <c r="Y21" s="366">
        <v>0</v>
      </c>
      <c r="Z21" s="366">
        <v>0</v>
      </c>
      <c r="AA21" s="366">
        <v>0</v>
      </c>
      <c r="AB21" s="367">
        <v>0</v>
      </c>
      <c r="AC21" s="185"/>
      <c r="AD21" s="185"/>
      <c r="AE21" s="185"/>
      <c r="AF21" s="185"/>
      <c r="AG21" s="185"/>
      <c r="AH21" s="185"/>
      <c r="AI21" s="185"/>
      <c r="AJ21" s="185"/>
      <c r="AL21" s="193"/>
    </row>
    <row r="22" spans="1:38" ht="20.100000000000001" customHeight="1">
      <c r="A22" s="564" t="s">
        <v>666</v>
      </c>
      <c r="B22" s="552" t="s">
        <v>664</v>
      </c>
      <c r="C22" s="552" t="s">
        <v>665</v>
      </c>
      <c r="D22" s="368" t="s">
        <v>522</v>
      </c>
      <c r="E22" s="362">
        <v>0.05</v>
      </c>
      <c r="F22" s="362">
        <v>0.05</v>
      </c>
      <c r="G22" s="362">
        <v>0.05</v>
      </c>
      <c r="H22" s="362">
        <v>0.05</v>
      </c>
      <c r="I22" s="362">
        <v>0.05</v>
      </c>
      <c r="J22" s="362">
        <v>0.05</v>
      </c>
      <c r="K22" s="362">
        <v>0.05</v>
      </c>
      <c r="L22" s="362">
        <v>0.25</v>
      </c>
      <c r="M22" s="362">
        <v>0.45</v>
      </c>
      <c r="N22" s="362">
        <v>0.55000000000000004</v>
      </c>
      <c r="O22" s="362">
        <v>0.55000000000000004</v>
      </c>
      <c r="P22" s="362">
        <v>0.55000000000000004</v>
      </c>
      <c r="Q22" s="362">
        <v>0.55000000000000004</v>
      </c>
      <c r="R22" s="362">
        <v>0.55000000000000004</v>
      </c>
      <c r="S22" s="362">
        <v>0.55000000000000004</v>
      </c>
      <c r="T22" s="362">
        <v>0.55000000000000004</v>
      </c>
      <c r="U22" s="362">
        <v>0.55000000000000004</v>
      </c>
      <c r="V22" s="362">
        <v>0.3</v>
      </c>
      <c r="W22" s="362">
        <v>0.05</v>
      </c>
      <c r="X22" s="362">
        <v>0.05</v>
      </c>
      <c r="Y22" s="362">
        <v>0.05</v>
      </c>
      <c r="Z22" s="362">
        <v>0.05</v>
      </c>
      <c r="AA22" s="362">
        <v>0.05</v>
      </c>
      <c r="AB22" s="363">
        <v>0.05</v>
      </c>
      <c r="AC22" s="185"/>
      <c r="AD22" s="185"/>
      <c r="AE22" s="185"/>
      <c r="AF22" s="185"/>
      <c r="AG22" s="185"/>
      <c r="AH22" s="185"/>
      <c r="AI22" s="185"/>
      <c r="AJ22" s="185"/>
      <c r="AL22" s="193"/>
    </row>
    <row r="23" spans="1:38" ht="20.100000000000001" customHeight="1">
      <c r="A23" s="565"/>
      <c r="B23" s="553"/>
      <c r="C23" s="553"/>
      <c r="D23" s="305" t="s">
        <v>353</v>
      </c>
      <c r="E23" s="304">
        <v>0.05</v>
      </c>
      <c r="F23" s="304">
        <v>0.05</v>
      </c>
      <c r="G23" s="304">
        <v>0.05</v>
      </c>
      <c r="H23" s="304">
        <v>0.05</v>
      </c>
      <c r="I23" s="304">
        <v>0.05</v>
      </c>
      <c r="J23" s="304">
        <v>0.05</v>
      </c>
      <c r="K23" s="304">
        <v>0.05</v>
      </c>
      <c r="L23" s="304">
        <v>0.05</v>
      </c>
      <c r="M23" s="304">
        <v>0.08</v>
      </c>
      <c r="N23" s="304">
        <v>0.24</v>
      </c>
      <c r="O23" s="304">
        <v>0.24</v>
      </c>
      <c r="P23" s="304">
        <v>0.24</v>
      </c>
      <c r="Q23" s="304">
        <v>0.05</v>
      </c>
      <c r="R23" s="304">
        <v>0.05</v>
      </c>
      <c r="S23" s="304">
        <v>0.05</v>
      </c>
      <c r="T23" s="304">
        <v>0.05</v>
      </c>
      <c r="U23" s="304">
        <v>0.05</v>
      </c>
      <c r="V23" s="304">
        <v>0.05</v>
      </c>
      <c r="W23" s="304">
        <v>0.05</v>
      </c>
      <c r="X23" s="304">
        <v>0.05</v>
      </c>
      <c r="Y23" s="304">
        <v>0.05</v>
      </c>
      <c r="Z23" s="304">
        <v>0.05</v>
      </c>
      <c r="AA23" s="304">
        <v>0.05</v>
      </c>
      <c r="AB23" s="364">
        <v>0.05</v>
      </c>
      <c r="AC23" s="185"/>
      <c r="AD23" s="185"/>
      <c r="AE23" s="185"/>
      <c r="AF23" s="185"/>
      <c r="AG23" s="185"/>
      <c r="AH23" s="185"/>
      <c r="AI23" s="185"/>
      <c r="AJ23" s="185"/>
      <c r="AL23" s="193"/>
    </row>
    <row r="24" spans="1:38" ht="20.100000000000001" customHeight="1" thickBot="1">
      <c r="A24" s="566"/>
      <c r="B24" s="554"/>
      <c r="C24" s="554"/>
      <c r="D24" s="369" t="s">
        <v>354</v>
      </c>
      <c r="E24" s="366">
        <v>0.05</v>
      </c>
      <c r="F24" s="366">
        <v>0.05</v>
      </c>
      <c r="G24" s="366">
        <v>0.05</v>
      </c>
      <c r="H24" s="366">
        <v>0.05</v>
      </c>
      <c r="I24" s="366">
        <v>0.05</v>
      </c>
      <c r="J24" s="366">
        <v>0.05</v>
      </c>
      <c r="K24" s="366">
        <v>0.05</v>
      </c>
      <c r="L24" s="366">
        <v>0.05</v>
      </c>
      <c r="M24" s="366">
        <v>0.05</v>
      </c>
      <c r="N24" s="366">
        <v>0.05</v>
      </c>
      <c r="O24" s="366">
        <v>0.05</v>
      </c>
      <c r="P24" s="366">
        <v>0.05</v>
      </c>
      <c r="Q24" s="366">
        <v>0.05</v>
      </c>
      <c r="R24" s="366">
        <v>0.05</v>
      </c>
      <c r="S24" s="366">
        <v>0.05</v>
      </c>
      <c r="T24" s="366">
        <v>0.05</v>
      </c>
      <c r="U24" s="366">
        <v>0.05</v>
      </c>
      <c r="V24" s="366">
        <v>0.05</v>
      </c>
      <c r="W24" s="366">
        <v>0.05</v>
      </c>
      <c r="X24" s="366">
        <v>0.05</v>
      </c>
      <c r="Y24" s="366">
        <v>0.05</v>
      </c>
      <c r="Z24" s="366">
        <v>0.05</v>
      </c>
      <c r="AA24" s="366">
        <v>0.05</v>
      </c>
      <c r="AB24" s="367">
        <v>0.05</v>
      </c>
      <c r="AC24" s="185"/>
      <c r="AD24" s="185"/>
      <c r="AE24" s="185"/>
      <c r="AF24" s="185"/>
      <c r="AG24" s="185"/>
      <c r="AH24" s="185"/>
      <c r="AI24" s="185"/>
      <c r="AJ24" s="185"/>
      <c r="AL24" s="193"/>
    </row>
    <row r="25" spans="1:38" ht="20.100000000000001" customHeight="1">
      <c r="A25" s="564" t="s">
        <v>667</v>
      </c>
      <c r="B25" s="552" t="s">
        <v>664</v>
      </c>
      <c r="C25" s="552" t="s">
        <v>665</v>
      </c>
      <c r="D25" s="368" t="s">
        <v>522</v>
      </c>
      <c r="E25" s="362">
        <v>0</v>
      </c>
      <c r="F25" s="362">
        <v>0</v>
      </c>
      <c r="G25" s="362">
        <v>0</v>
      </c>
      <c r="H25" s="362">
        <v>0</v>
      </c>
      <c r="I25" s="362">
        <v>0</v>
      </c>
      <c r="J25" s="362">
        <v>0</v>
      </c>
      <c r="K25" s="362">
        <v>0</v>
      </c>
      <c r="L25" s="362">
        <v>0.15</v>
      </c>
      <c r="M25" s="362">
        <v>0.7</v>
      </c>
      <c r="N25" s="362">
        <v>0.9</v>
      </c>
      <c r="O25" s="362">
        <v>0.9</v>
      </c>
      <c r="P25" s="362">
        <v>0.9</v>
      </c>
      <c r="Q25" s="362">
        <v>0.5</v>
      </c>
      <c r="R25" s="362">
        <v>0.85</v>
      </c>
      <c r="S25" s="362">
        <v>0.85</v>
      </c>
      <c r="T25" s="362">
        <v>0.85</v>
      </c>
      <c r="U25" s="362">
        <v>0.2</v>
      </c>
      <c r="V25" s="362">
        <v>0</v>
      </c>
      <c r="W25" s="362">
        <v>0</v>
      </c>
      <c r="X25" s="362">
        <v>0</v>
      </c>
      <c r="Y25" s="362">
        <v>0</v>
      </c>
      <c r="Z25" s="362">
        <v>0</v>
      </c>
      <c r="AA25" s="362">
        <v>0</v>
      </c>
      <c r="AB25" s="363">
        <v>0</v>
      </c>
      <c r="AC25" s="185"/>
      <c r="AD25" s="185"/>
      <c r="AE25" s="185"/>
      <c r="AF25" s="185"/>
      <c r="AG25" s="185"/>
      <c r="AH25" s="185"/>
      <c r="AI25" s="185"/>
      <c r="AJ25" s="185"/>
      <c r="AL25" s="193"/>
    </row>
    <row r="26" spans="1:38" ht="20.100000000000001" customHeight="1">
      <c r="A26" s="565"/>
      <c r="B26" s="553"/>
      <c r="C26" s="553"/>
      <c r="D26" s="305" t="s">
        <v>353</v>
      </c>
      <c r="E26" s="304">
        <v>0</v>
      </c>
      <c r="F26" s="304">
        <v>0</v>
      </c>
      <c r="G26" s="304">
        <v>0</v>
      </c>
      <c r="H26" s="304">
        <v>0</v>
      </c>
      <c r="I26" s="304">
        <v>0</v>
      </c>
      <c r="J26" s="304">
        <v>0</v>
      </c>
      <c r="K26" s="304">
        <v>0</v>
      </c>
      <c r="L26" s="304">
        <v>0</v>
      </c>
      <c r="M26" s="304">
        <v>0.2</v>
      </c>
      <c r="N26" s="304">
        <v>0.2</v>
      </c>
      <c r="O26" s="304">
        <v>0.2</v>
      </c>
      <c r="P26" s="304">
        <v>0.2</v>
      </c>
      <c r="Q26" s="304">
        <v>0.1</v>
      </c>
      <c r="R26" s="304">
        <v>0.1</v>
      </c>
      <c r="S26" s="304">
        <v>0.1</v>
      </c>
      <c r="T26" s="304">
        <v>0.1</v>
      </c>
      <c r="U26" s="304">
        <v>0</v>
      </c>
      <c r="V26" s="304">
        <v>0</v>
      </c>
      <c r="W26" s="304">
        <v>0</v>
      </c>
      <c r="X26" s="304">
        <v>0</v>
      </c>
      <c r="Y26" s="304">
        <v>0</v>
      </c>
      <c r="Z26" s="304">
        <v>0</v>
      </c>
      <c r="AA26" s="304">
        <v>0</v>
      </c>
      <c r="AB26" s="364">
        <v>0</v>
      </c>
      <c r="AC26" s="185"/>
      <c r="AD26" s="185"/>
      <c r="AE26" s="185"/>
      <c r="AF26" s="185"/>
      <c r="AG26" s="185"/>
      <c r="AH26" s="185"/>
      <c r="AI26" s="185"/>
      <c r="AJ26" s="185"/>
      <c r="AL26" s="193"/>
    </row>
    <row r="27" spans="1:38" ht="20.100000000000001" customHeight="1" thickBot="1">
      <c r="A27" s="566"/>
      <c r="B27" s="554"/>
      <c r="C27" s="554"/>
      <c r="D27" s="369" t="s">
        <v>354</v>
      </c>
      <c r="E27" s="366">
        <v>0</v>
      </c>
      <c r="F27" s="366">
        <v>0</v>
      </c>
      <c r="G27" s="366">
        <v>0</v>
      </c>
      <c r="H27" s="366">
        <v>0</v>
      </c>
      <c r="I27" s="366">
        <v>0</v>
      </c>
      <c r="J27" s="366">
        <v>0</v>
      </c>
      <c r="K27" s="366">
        <v>0</v>
      </c>
      <c r="L27" s="366">
        <v>0</v>
      </c>
      <c r="M27" s="366">
        <v>0</v>
      </c>
      <c r="N27" s="366">
        <v>0</v>
      </c>
      <c r="O27" s="366">
        <v>0</v>
      </c>
      <c r="P27" s="366">
        <v>0</v>
      </c>
      <c r="Q27" s="366">
        <v>0</v>
      </c>
      <c r="R27" s="366">
        <v>0</v>
      </c>
      <c r="S27" s="366">
        <v>0</v>
      </c>
      <c r="T27" s="366">
        <v>0</v>
      </c>
      <c r="U27" s="366">
        <v>0</v>
      </c>
      <c r="V27" s="366">
        <v>0</v>
      </c>
      <c r="W27" s="366">
        <v>0</v>
      </c>
      <c r="X27" s="366">
        <v>0</v>
      </c>
      <c r="Y27" s="366">
        <v>0</v>
      </c>
      <c r="Z27" s="366">
        <v>0</v>
      </c>
      <c r="AA27" s="366">
        <v>0</v>
      </c>
      <c r="AB27" s="367">
        <v>0</v>
      </c>
      <c r="AC27" s="185"/>
      <c r="AD27" s="185"/>
      <c r="AE27" s="185"/>
      <c r="AF27" s="185"/>
      <c r="AG27" s="185"/>
      <c r="AH27" s="185"/>
      <c r="AI27" s="185"/>
      <c r="AJ27" s="185"/>
      <c r="AL27" s="193"/>
    </row>
    <row r="28" spans="1:38" ht="20.100000000000001" customHeight="1">
      <c r="A28" s="564" t="s">
        <v>668</v>
      </c>
      <c r="B28" s="552" t="s">
        <v>664</v>
      </c>
      <c r="C28" s="552" t="s">
        <v>665</v>
      </c>
      <c r="D28" s="368" t="s">
        <v>522</v>
      </c>
      <c r="E28" s="362">
        <v>0.05</v>
      </c>
      <c r="F28" s="362">
        <v>0.05</v>
      </c>
      <c r="G28" s="362">
        <v>0.05</v>
      </c>
      <c r="H28" s="362">
        <v>0.05</v>
      </c>
      <c r="I28" s="362">
        <v>0.05</v>
      </c>
      <c r="J28" s="362">
        <v>0.05</v>
      </c>
      <c r="K28" s="362">
        <v>0.05</v>
      </c>
      <c r="L28" s="362">
        <v>0.25</v>
      </c>
      <c r="M28" s="362">
        <v>0.45</v>
      </c>
      <c r="N28" s="362">
        <v>0.55000000000000004</v>
      </c>
      <c r="O28" s="362">
        <v>0.55000000000000004</v>
      </c>
      <c r="P28" s="362">
        <v>0.55000000000000004</v>
      </c>
      <c r="Q28" s="362">
        <v>0.55000000000000004</v>
      </c>
      <c r="R28" s="362">
        <v>0.55000000000000004</v>
      </c>
      <c r="S28" s="362">
        <v>0.55000000000000004</v>
      </c>
      <c r="T28" s="362">
        <v>0.55000000000000004</v>
      </c>
      <c r="U28" s="362">
        <v>0.55000000000000004</v>
      </c>
      <c r="V28" s="362">
        <v>0.3</v>
      </c>
      <c r="W28" s="362">
        <v>0.05</v>
      </c>
      <c r="X28" s="362">
        <v>0.05</v>
      </c>
      <c r="Y28" s="362">
        <v>0.05</v>
      </c>
      <c r="Z28" s="362">
        <v>0.05</v>
      </c>
      <c r="AA28" s="362">
        <v>0.05</v>
      </c>
      <c r="AB28" s="363">
        <v>0.05</v>
      </c>
      <c r="AC28" s="185"/>
      <c r="AD28" s="185"/>
      <c r="AE28" s="185"/>
      <c r="AF28" s="185"/>
      <c r="AG28" s="185"/>
      <c r="AH28" s="185"/>
      <c r="AI28" s="185"/>
      <c r="AJ28" s="185"/>
      <c r="AL28" s="193"/>
    </row>
    <row r="29" spans="1:38" ht="20.100000000000001" customHeight="1">
      <c r="A29" s="565"/>
      <c r="B29" s="553"/>
      <c r="C29" s="553"/>
      <c r="D29" s="305" t="s">
        <v>353</v>
      </c>
      <c r="E29" s="304">
        <v>0.05</v>
      </c>
      <c r="F29" s="304">
        <v>0.05</v>
      </c>
      <c r="G29" s="304">
        <v>0.05</v>
      </c>
      <c r="H29" s="304">
        <v>0.05</v>
      </c>
      <c r="I29" s="304">
        <v>0.05</v>
      </c>
      <c r="J29" s="304">
        <v>0.05</v>
      </c>
      <c r="K29" s="304">
        <v>0.05</v>
      </c>
      <c r="L29" s="304">
        <v>0.05</v>
      </c>
      <c r="M29" s="304">
        <v>0.08</v>
      </c>
      <c r="N29" s="304">
        <v>0.24</v>
      </c>
      <c r="O29" s="304">
        <v>0.24</v>
      </c>
      <c r="P29" s="304">
        <v>0.24</v>
      </c>
      <c r="Q29" s="304">
        <v>0.05</v>
      </c>
      <c r="R29" s="304">
        <v>0.05</v>
      </c>
      <c r="S29" s="304">
        <v>0.05</v>
      </c>
      <c r="T29" s="304">
        <v>0.05</v>
      </c>
      <c r="U29" s="304">
        <v>0.05</v>
      </c>
      <c r="V29" s="304">
        <v>0.05</v>
      </c>
      <c r="W29" s="304">
        <v>0.05</v>
      </c>
      <c r="X29" s="304">
        <v>0.05</v>
      </c>
      <c r="Y29" s="304">
        <v>0.05</v>
      </c>
      <c r="Z29" s="304">
        <v>0.05</v>
      </c>
      <c r="AA29" s="304">
        <v>0.05</v>
      </c>
      <c r="AB29" s="364">
        <v>0.05</v>
      </c>
      <c r="AC29" s="185"/>
      <c r="AD29" s="185"/>
      <c r="AE29" s="185"/>
      <c r="AF29" s="185"/>
      <c r="AG29" s="185"/>
      <c r="AH29" s="185"/>
      <c r="AI29" s="185"/>
      <c r="AJ29" s="185"/>
      <c r="AL29" s="193"/>
    </row>
    <row r="30" spans="1:38" ht="20.100000000000001" customHeight="1" thickBot="1">
      <c r="A30" s="566"/>
      <c r="B30" s="554"/>
      <c r="C30" s="554"/>
      <c r="D30" s="369" t="s">
        <v>354</v>
      </c>
      <c r="E30" s="366">
        <v>0.05</v>
      </c>
      <c r="F30" s="366">
        <v>0.05</v>
      </c>
      <c r="G30" s="366">
        <v>0.05</v>
      </c>
      <c r="H30" s="366">
        <v>0.05</v>
      </c>
      <c r="I30" s="366">
        <v>0.05</v>
      </c>
      <c r="J30" s="366">
        <v>0.05</v>
      </c>
      <c r="K30" s="366">
        <v>0.05</v>
      </c>
      <c r="L30" s="366">
        <v>0.05</v>
      </c>
      <c r="M30" s="366">
        <v>0.05</v>
      </c>
      <c r="N30" s="366">
        <v>0.05</v>
      </c>
      <c r="O30" s="366">
        <v>0.05</v>
      </c>
      <c r="P30" s="366">
        <v>0.05</v>
      </c>
      <c r="Q30" s="366">
        <v>0.05</v>
      </c>
      <c r="R30" s="366">
        <v>0.05</v>
      </c>
      <c r="S30" s="366">
        <v>0.05</v>
      </c>
      <c r="T30" s="366">
        <v>0.05</v>
      </c>
      <c r="U30" s="366">
        <v>0.05</v>
      </c>
      <c r="V30" s="366">
        <v>0.05</v>
      </c>
      <c r="W30" s="366">
        <v>0.05</v>
      </c>
      <c r="X30" s="366">
        <v>0.05</v>
      </c>
      <c r="Y30" s="366">
        <v>0.05</v>
      </c>
      <c r="Z30" s="366">
        <v>0.05</v>
      </c>
      <c r="AA30" s="366">
        <v>0.05</v>
      </c>
      <c r="AB30" s="367">
        <v>0.05</v>
      </c>
      <c r="AC30" s="185"/>
      <c r="AD30" s="185"/>
      <c r="AE30" s="185"/>
      <c r="AF30" s="185"/>
      <c r="AG30" s="185"/>
      <c r="AH30" s="185"/>
      <c r="AI30" s="185"/>
      <c r="AJ30" s="185"/>
      <c r="AL30" s="193"/>
    </row>
    <row r="31" spans="1:38" ht="29.45" customHeight="1" thickBot="1">
      <c r="A31" s="546"/>
      <c r="B31" s="547"/>
      <c r="C31" s="547"/>
      <c r="D31" s="547"/>
      <c r="E31" s="547"/>
      <c r="F31" s="547"/>
      <c r="G31" s="547"/>
      <c r="H31" s="547"/>
      <c r="I31" s="547"/>
      <c r="J31" s="547"/>
      <c r="K31" s="547"/>
      <c r="L31" s="547"/>
      <c r="M31" s="547"/>
      <c r="N31" s="547"/>
      <c r="O31" s="547"/>
      <c r="P31" s="547"/>
      <c r="Q31" s="547"/>
      <c r="R31" s="547"/>
      <c r="S31" s="547"/>
      <c r="T31" s="547"/>
      <c r="U31" s="547"/>
      <c r="V31" s="547"/>
      <c r="W31" s="547"/>
      <c r="X31" s="547"/>
      <c r="Y31" s="547"/>
      <c r="Z31" s="547"/>
      <c r="AA31" s="547"/>
      <c r="AB31" s="548"/>
      <c r="AC31" s="186"/>
      <c r="AD31" s="185"/>
      <c r="AE31" s="185"/>
      <c r="AF31" s="185"/>
      <c r="AG31" s="185"/>
      <c r="AH31" s="185"/>
      <c r="AI31" s="185"/>
      <c r="AJ31" s="185"/>
    </row>
    <row r="32" spans="1:38" ht="21" customHeight="1">
      <c r="A32" s="549" t="s">
        <v>669</v>
      </c>
      <c r="B32" s="552" t="s">
        <v>670</v>
      </c>
      <c r="C32" s="555" t="s">
        <v>52</v>
      </c>
      <c r="D32" s="375" t="s">
        <v>522</v>
      </c>
      <c r="E32" s="356">
        <v>0</v>
      </c>
      <c r="F32" s="356">
        <v>0</v>
      </c>
      <c r="G32" s="356">
        <v>0</v>
      </c>
      <c r="H32" s="356">
        <v>0</v>
      </c>
      <c r="I32" s="356">
        <v>0</v>
      </c>
      <c r="J32" s="356">
        <v>0</v>
      </c>
      <c r="K32" s="356">
        <v>1</v>
      </c>
      <c r="L32" s="356">
        <v>1</v>
      </c>
      <c r="M32" s="356">
        <v>1</v>
      </c>
      <c r="N32" s="356">
        <v>1</v>
      </c>
      <c r="O32" s="356">
        <v>1</v>
      </c>
      <c r="P32" s="356">
        <v>1</v>
      </c>
      <c r="Q32" s="356">
        <v>1</v>
      </c>
      <c r="R32" s="356">
        <v>1</v>
      </c>
      <c r="S32" s="356">
        <v>1</v>
      </c>
      <c r="T32" s="356">
        <v>1</v>
      </c>
      <c r="U32" s="356">
        <v>1</v>
      </c>
      <c r="V32" s="356">
        <v>1</v>
      </c>
      <c r="W32" s="356">
        <v>1</v>
      </c>
      <c r="X32" s="356">
        <v>1</v>
      </c>
      <c r="Y32" s="356">
        <v>1</v>
      </c>
      <c r="Z32" s="356">
        <v>1</v>
      </c>
      <c r="AA32" s="356">
        <v>1</v>
      </c>
      <c r="AB32" s="357">
        <v>1</v>
      </c>
      <c r="AC32" s="247"/>
      <c r="AD32" s="185"/>
      <c r="AE32" s="185"/>
      <c r="AF32" s="185"/>
      <c r="AG32" s="185"/>
      <c r="AH32" s="185"/>
      <c r="AI32" s="185"/>
      <c r="AJ32" s="185"/>
      <c r="AL32" s="193"/>
    </row>
    <row r="33" spans="1:40" ht="21" customHeight="1">
      <c r="A33" s="550"/>
      <c r="B33" s="553"/>
      <c r="C33" s="556"/>
      <c r="D33" s="292" t="s">
        <v>353</v>
      </c>
      <c r="E33" s="291">
        <v>0</v>
      </c>
      <c r="F33" s="291">
        <v>0</v>
      </c>
      <c r="G33" s="291">
        <v>0</v>
      </c>
      <c r="H33" s="291">
        <v>0</v>
      </c>
      <c r="I33" s="291">
        <v>0</v>
      </c>
      <c r="J33" s="291">
        <v>0</v>
      </c>
      <c r="K33" s="291">
        <v>1</v>
      </c>
      <c r="L33" s="291">
        <v>1</v>
      </c>
      <c r="M33" s="291">
        <v>1</v>
      </c>
      <c r="N33" s="291">
        <v>1</v>
      </c>
      <c r="O33" s="291">
        <v>1</v>
      </c>
      <c r="P33" s="291">
        <v>1</v>
      </c>
      <c r="Q33" s="291">
        <v>1</v>
      </c>
      <c r="R33" s="291">
        <v>1</v>
      </c>
      <c r="S33" s="291">
        <v>1</v>
      </c>
      <c r="T33" s="291">
        <v>1</v>
      </c>
      <c r="U33" s="291">
        <v>1</v>
      </c>
      <c r="V33" s="291">
        <v>1</v>
      </c>
      <c r="W33" s="291">
        <v>1</v>
      </c>
      <c r="X33" s="291">
        <v>1</v>
      </c>
      <c r="Y33" s="291">
        <v>1</v>
      </c>
      <c r="Z33" s="291">
        <v>1</v>
      </c>
      <c r="AA33" s="291">
        <v>1</v>
      </c>
      <c r="AB33" s="358">
        <v>1</v>
      </c>
      <c r="AC33" s="247"/>
      <c r="AD33" s="185"/>
      <c r="AE33" s="185"/>
      <c r="AF33" s="185"/>
      <c r="AG33" s="185"/>
      <c r="AH33" s="185"/>
      <c r="AI33" s="185"/>
      <c r="AJ33" s="185"/>
      <c r="AL33" s="193"/>
    </row>
    <row r="34" spans="1:40" ht="21" customHeight="1" thickBot="1">
      <c r="A34" s="551"/>
      <c r="B34" s="554"/>
      <c r="C34" s="557"/>
      <c r="D34" s="376" t="s">
        <v>354</v>
      </c>
      <c r="E34" s="359">
        <v>0</v>
      </c>
      <c r="F34" s="359">
        <v>0</v>
      </c>
      <c r="G34" s="359">
        <v>0</v>
      </c>
      <c r="H34" s="359">
        <v>0</v>
      </c>
      <c r="I34" s="359">
        <v>0</v>
      </c>
      <c r="J34" s="359">
        <v>0</v>
      </c>
      <c r="K34" s="359">
        <v>1</v>
      </c>
      <c r="L34" s="359">
        <v>1</v>
      </c>
      <c r="M34" s="359">
        <v>1</v>
      </c>
      <c r="N34" s="359">
        <v>1</v>
      </c>
      <c r="O34" s="359">
        <v>1</v>
      </c>
      <c r="P34" s="359">
        <v>1</v>
      </c>
      <c r="Q34" s="359">
        <v>1</v>
      </c>
      <c r="R34" s="359">
        <v>1</v>
      </c>
      <c r="S34" s="359">
        <v>1</v>
      </c>
      <c r="T34" s="359">
        <v>1</v>
      </c>
      <c r="U34" s="359">
        <v>1</v>
      </c>
      <c r="V34" s="359">
        <v>1</v>
      </c>
      <c r="W34" s="359">
        <v>1</v>
      </c>
      <c r="X34" s="359">
        <v>1</v>
      </c>
      <c r="Y34" s="359">
        <v>1</v>
      </c>
      <c r="Z34" s="359">
        <v>1</v>
      </c>
      <c r="AA34" s="359">
        <v>1</v>
      </c>
      <c r="AB34" s="360">
        <v>1</v>
      </c>
      <c r="AC34" s="247"/>
      <c r="AD34" s="185"/>
      <c r="AE34" s="185"/>
      <c r="AF34" s="185"/>
      <c r="AG34" s="185"/>
      <c r="AH34" s="185"/>
      <c r="AI34" s="185"/>
      <c r="AJ34" s="185"/>
      <c r="AL34" s="193"/>
    </row>
    <row r="35" spans="1:40" ht="21" customHeight="1">
      <c r="A35" s="549" t="s">
        <v>671</v>
      </c>
      <c r="B35" s="552" t="s">
        <v>672</v>
      </c>
      <c r="C35" s="555" t="s">
        <v>52</v>
      </c>
      <c r="D35" s="375" t="s">
        <v>522</v>
      </c>
      <c r="E35" s="377">
        <v>0</v>
      </c>
      <c r="F35" s="377">
        <v>0</v>
      </c>
      <c r="G35" s="377">
        <v>0</v>
      </c>
      <c r="H35" s="377">
        <v>0</v>
      </c>
      <c r="I35" s="377">
        <v>0</v>
      </c>
      <c r="J35" s="377">
        <v>0</v>
      </c>
      <c r="K35" s="377">
        <v>0.1</v>
      </c>
      <c r="L35" s="377">
        <v>0.2</v>
      </c>
      <c r="M35" s="377">
        <v>0.95</v>
      </c>
      <c r="N35" s="377">
        <v>0.95</v>
      </c>
      <c r="O35" s="377">
        <v>0.95</v>
      </c>
      <c r="P35" s="377">
        <v>0.95</v>
      </c>
      <c r="Q35" s="377">
        <v>0.5</v>
      </c>
      <c r="R35" s="377">
        <v>0.95</v>
      </c>
      <c r="S35" s="377">
        <v>0.95</v>
      </c>
      <c r="T35" s="377">
        <v>0.95</v>
      </c>
      <c r="U35" s="377">
        <v>0.95</v>
      </c>
      <c r="V35" s="377">
        <v>0.3</v>
      </c>
      <c r="W35" s="377">
        <v>0.1</v>
      </c>
      <c r="X35" s="377">
        <v>0.1</v>
      </c>
      <c r="Y35" s="377">
        <v>0.1</v>
      </c>
      <c r="Z35" s="377">
        <v>0.1</v>
      </c>
      <c r="AA35" s="377">
        <v>0.05</v>
      </c>
      <c r="AB35" s="378">
        <v>0.05</v>
      </c>
      <c r="AC35" s="185"/>
      <c r="AD35" s="185"/>
      <c r="AE35" s="185"/>
      <c r="AF35" s="185"/>
      <c r="AG35" s="185"/>
      <c r="AH35" s="185"/>
      <c r="AI35" s="185"/>
      <c r="AJ35" s="185"/>
    </row>
    <row r="36" spans="1:40" ht="21" customHeight="1">
      <c r="A36" s="550"/>
      <c r="B36" s="553"/>
      <c r="C36" s="556"/>
      <c r="D36" s="292" t="s">
        <v>353</v>
      </c>
      <c r="E36" s="290">
        <v>0</v>
      </c>
      <c r="F36" s="290">
        <v>0</v>
      </c>
      <c r="G36" s="290">
        <v>0</v>
      </c>
      <c r="H36" s="290">
        <v>0</v>
      </c>
      <c r="I36" s="290">
        <v>0</v>
      </c>
      <c r="J36" s="290">
        <v>0</v>
      </c>
      <c r="K36" s="290">
        <v>0.1</v>
      </c>
      <c r="L36" s="290">
        <v>0.1</v>
      </c>
      <c r="M36" s="290">
        <v>0.3</v>
      </c>
      <c r="N36" s="290">
        <v>0.3</v>
      </c>
      <c r="O36" s="290">
        <v>0.3</v>
      </c>
      <c r="P36" s="290">
        <v>0.3</v>
      </c>
      <c r="Q36" s="290">
        <v>0.1</v>
      </c>
      <c r="R36" s="290">
        <v>0.1</v>
      </c>
      <c r="S36" s="290">
        <v>0.1</v>
      </c>
      <c r="T36" s="290">
        <v>0.1</v>
      </c>
      <c r="U36" s="290">
        <v>0.1</v>
      </c>
      <c r="V36" s="290">
        <v>0.05</v>
      </c>
      <c r="W36" s="290">
        <v>0.05</v>
      </c>
      <c r="X36" s="290">
        <v>0</v>
      </c>
      <c r="Y36" s="290">
        <v>0</v>
      </c>
      <c r="Z36" s="290">
        <v>0</v>
      </c>
      <c r="AA36" s="290">
        <v>0</v>
      </c>
      <c r="AB36" s="379">
        <v>0</v>
      </c>
      <c r="AC36" s="185"/>
      <c r="AD36" s="185"/>
      <c r="AE36" s="185"/>
      <c r="AF36" s="185"/>
      <c r="AG36" s="185"/>
      <c r="AH36" s="185"/>
      <c r="AI36" s="185"/>
      <c r="AJ36" s="185"/>
    </row>
    <row r="37" spans="1:40" ht="21" customHeight="1" thickBot="1">
      <c r="A37" s="551"/>
      <c r="B37" s="554"/>
      <c r="C37" s="557"/>
      <c r="D37" s="376" t="s">
        <v>354</v>
      </c>
      <c r="E37" s="380">
        <v>0</v>
      </c>
      <c r="F37" s="380">
        <v>0</v>
      </c>
      <c r="G37" s="380">
        <v>0</v>
      </c>
      <c r="H37" s="380">
        <v>0</v>
      </c>
      <c r="I37" s="380">
        <v>0</v>
      </c>
      <c r="J37" s="380">
        <v>0</v>
      </c>
      <c r="K37" s="380">
        <v>0.05</v>
      </c>
      <c r="L37" s="380">
        <v>0.05</v>
      </c>
      <c r="M37" s="380">
        <v>0.05</v>
      </c>
      <c r="N37" s="380">
        <v>0.05</v>
      </c>
      <c r="O37" s="380">
        <v>0.05</v>
      </c>
      <c r="P37" s="380">
        <v>0.05</v>
      </c>
      <c r="Q37" s="380">
        <v>0.05</v>
      </c>
      <c r="R37" s="380">
        <v>0.05</v>
      </c>
      <c r="S37" s="380">
        <v>0.05</v>
      </c>
      <c r="T37" s="380">
        <v>0.05</v>
      </c>
      <c r="U37" s="380">
        <v>0.05</v>
      </c>
      <c r="V37" s="380">
        <v>0.05</v>
      </c>
      <c r="W37" s="380">
        <v>0</v>
      </c>
      <c r="X37" s="380">
        <v>0</v>
      </c>
      <c r="Y37" s="380">
        <v>0</v>
      </c>
      <c r="Z37" s="380">
        <v>0</v>
      </c>
      <c r="AA37" s="380">
        <v>0</v>
      </c>
      <c r="AB37" s="381">
        <v>0</v>
      </c>
      <c r="AC37" s="185"/>
      <c r="AD37" s="185"/>
      <c r="AE37" s="185"/>
      <c r="AF37" s="185"/>
      <c r="AG37" s="185"/>
      <c r="AH37" s="185"/>
      <c r="AI37" s="185"/>
      <c r="AJ37" s="185"/>
    </row>
    <row r="38" spans="1:40" ht="21" customHeight="1">
      <c r="A38" s="549" t="s">
        <v>673</v>
      </c>
      <c r="B38" s="552" t="s">
        <v>672</v>
      </c>
      <c r="C38" s="555" t="s">
        <v>56</v>
      </c>
      <c r="D38" s="375" t="s">
        <v>522</v>
      </c>
      <c r="E38" s="377">
        <v>0</v>
      </c>
      <c r="F38" s="377">
        <v>0</v>
      </c>
      <c r="G38" s="377">
        <v>0</v>
      </c>
      <c r="H38" s="377">
        <v>0</v>
      </c>
      <c r="I38" s="377">
        <v>0</v>
      </c>
      <c r="J38" s="377">
        <v>0</v>
      </c>
      <c r="K38" s="377">
        <v>0.1</v>
      </c>
      <c r="L38" s="377">
        <v>0.2</v>
      </c>
      <c r="M38" s="377">
        <v>0.95</v>
      </c>
      <c r="N38" s="377">
        <v>0.95</v>
      </c>
      <c r="O38" s="377">
        <v>0.95</v>
      </c>
      <c r="P38" s="377">
        <v>0.95</v>
      </c>
      <c r="Q38" s="377">
        <v>0.5</v>
      </c>
      <c r="R38" s="377">
        <v>0.95</v>
      </c>
      <c r="S38" s="377">
        <v>0.95</v>
      </c>
      <c r="T38" s="377">
        <v>0.95</v>
      </c>
      <c r="U38" s="377">
        <v>0.95</v>
      </c>
      <c r="V38" s="377">
        <v>0.3</v>
      </c>
      <c r="W38" s="377">
        <v>0.1</v>
      </c>
      <c r="X38" s="377">
        <v>0.1</v>
      </c>
      <c r="Y38" s="377">
        <v>0.1</v>
      </c>
      <c r="Z38" s="377">
        <v>0.1</v>
      </c>
      <c r="AA38" s="377">
        <v>0.05</v>
      </c>
      <c r="AB38" s="378">
        <v>0.05</v>
      </c>
      <c r="AC38" s="185"/>
      <c r="AD38" s="185"/>
      <c r="AE38" s="185"/>
      <c r="AF38" s="185"/>
      <c r="AG38" s="185"/>
      <c r="AH38" s="185"/>
      <c r="AI38" s="185"/>
      <c r="AJ38" s="185"/>
      <c r="AL38" s="193"/>
    </row>
    <row r="39" spans="1:40" ht="21" customHeight="1">
      <c r="A39" s="550"/>
      <c r="B39" s="553"/>
      <c r="C39" s="556"/>
      <c r="D39" s="292" t="s">
        <v>353</v>
      </c>
      <c r="E39" s="290">
        <v>0</v>
      </c>
      <c r="F39" s="290">
        <v>0</v>
      </c>
      <c r="G39" s="290">
        <v>0</v>
      </c>
      <c r="H39" s="290">
        <v>0</v>
      </c>
      <c r="I39" s="290">
        <v>0</v>
      </c>
      <c r="J39" s="290">
        <v>0</v>
      </c>
      <c r="K39" s="290">
        <v>0.1</v>
      </c>
      <c r="L39" s="290">
        <v>0.1</v>
      </c>
      <c r="M39" s="290">
        <v>0.3</v>
      </c>
      <c r="N39" s="290">
        <v>0.3</v>
      </c>
      <c r="O39" s="290">
        <v>0.3</v>
      </c>
      <c r="P39" s="290">
        <v>0.3</v>
      </c>
      <c r="Q39" s="290">
        <v>0.1</v>
      </c>
      <c r="R39" s="290">
        <v>0.1</v>
      </c>
      <c r="S39" s="290">
        <v>0.1</v>
      </c>
      <c r="T39" s="290">
        <v>0.1</v>
      </c>
      <c r="U39" s="290">
        <v>0.1</v>
      </c>
      <c r="V39" s="290">
        <v>0.05</v>
      </c>
      <c r="W39" s="290">
        <v>0.05</v>
      </c>
      <c r="X39" s="290">
        <v>0</v>
      </c>
      <c r="Y39" s="290">
        <v>0</v>
      </c>
      <c r="Z39" s="290">
        <v>0</v>
      </c>
      <c r="AA39" s="290">
        <v>0</v>
      </c>
      <c r="AB39" s="379">
        <v>0</v>
      </c>
      <c r="AC39" s="185"/>
      <c r="AD39" s="185"/>
      <c r="AE39" s="185"/>
      <c r="AF39" s="185"/>
      <c r="AG39" s="185"/>
      <c r="AH39" s="185"/>
      <c r="AI39" s="185"/>
      <c r="AJ39" s="185"/>
      <c r="AL39" s="193"/>
    </row>
    <row r="40" spans="1:40" ht="21" customHeight="1" thickBot="1">
      <c r="A40" s="551"/>
      <c r="B40" s="554"/>
      <c r="C40" s="557"/>
      <c r="D40" s="376" t="s">
        <v>354</v>
      </c>
      <c r="E40" s="380">
        <v>0</v>
      </c>
      <c r="F40" s="380">
        <v>0</v>
      </c>
      <c r="G40" s="380">
        <v>0</v>
      </c>
      <c r="H40" s="380">
        <v>0</v>
      </c>
      <c r="I40" s="380">
        <v>0</v>
      </c>
      <c r="J40" s="380">
        <v>0</v>
      </c>
      <c r="K40" s="380">
        <v>0.05</v>
      </c>
      <c r="L40" s="380">
        <v>0.05</v>
      </c>
      <c r="M40" s="380">
        <v>0.05</v>
      </c>
      <c r="N40" s="380">
        <v>0.05</v>
      </c>
      <c r="O40" s="380">
        <v>0.05</v>
      </c>
      <c r="P40" s="380">
        <v>0.05</v>
      </c>
      <c r="Q40" s="380">
        <v>0.05</v>
      </c>
      <c r="R40" s="380">
        <v>0.05</v>
      </c>
      <c r="S40" s="380">
        <v>0.05</v>
      </c>
      <c r="T40" s="380">
        <v>0.05</v>
      </c>
      <c r="U40" s="380">
        <v>0.05</v>
      </c>
      <c r="V40" s="380">
        <v>0.05</v>
      </c>
      <c r="W40" s="380">
        <v>0</v>
      </c>
      <c r="X40" s="380">
        <v>0</v>
      </c>
      <c r="Y40" s="380">
        <v>0</v>
      </c>
      <c r="Z40" s="380">
        <v>0</v>
      </c>
      <c r="AA40" s="380">
        <v>0</v>
      </c>
      <c r="AB40" s="381">
        <v>0</v>
      </c>
      <c r="AL40" s="193"/>
      <c r="AN40" s="433"/>
    </row>
    <row r="41" spans="1:40" ht="39" customHeight="1" thickBot="1">
      <c r="A41" s="549" t="s">
        <v>674</v>
      </c>
      <c r="B41" s="552" t="s">
        <v>670</v>
      </c>
      <c r="C41" s="555" t="s">
        <v>56</v>
      </c>
      <c r="D41" s="417" t="s">
        <v>675</v>
      </c>
      <c r="E41" s="356">
        <v>0</v>
      </c>
      <c r="F41" s="356">
        <v>0</v>
      </c>
      <c r="G41" s="356">
        <v>0</v>
      </c>
      <c r="H41" s="356">
        <v>0</v>
      </c>
      <c r="I41" s="356">
        <v>0</v>
      </c>
      <c r="J41" s="356">
        <v>0</v>
      </c>
      <c r="K41" s="356">
        <v>0.6</v>
      </c>
      <c r="L41" s="356">
        <v>0.6</v>
      </c>
      <c r="M41" s="356">
        <v>0.6</v>
      </c>
      <c r="N41" s="356">
        <v>0.6</v>
      </c>
      <c r="O41" s="356">
        <v>0.6</v>
      </c>
      <c r="P41" s="356">
        <v>0.6</v>
      </c>
      <c r="Q41" s="356">
        <v>0.6</v>
      </c>
      <c r="R41" s="356">
        <v>0.6</v>
      </c>
      <c r="S41" s="356">
        <v>0.6</v>
      </c>
      <c r="T41" s="356">
        <v>0.6</v>
      </c>
      <c r="U41" s="356">
        <v>0.6</v>
      </c>
      <c r="V41" s="356">
        <v>0.6</v>
      </c>
      <c r="W41" s="356">
        <v>0</v>
      </c>
      <c r="X41" s="356">
        <v>0</v>
      </c>
      <c r="Y41" s="356">
        <v>0</v>
      </c>
      <c r="Z41" s="356">
        <v>0</v>
      </c>
      <c r="AA41" s="356">
        <v>0</v>
      </c>
      <c r="AB41" s="357">
        <v>0</v>
      </c>
      <c r="AL41" s="193"/>
    </row>
    <row r="42" spans="1:40" ht="39" customHeight="1">
      <c r="A42" s="558"/>
      <c r="B42" s="560"/>
      <c r="C42" s="562"/>
      <c r="D42" s="421" t="s">
        <v>676</v>
      </c>
      <c r="E42" s="356">
        <v>0</v>
      </c>
      <c r="F42" s="356">
        <v>0</v>
      </c>
      <c r="G42" s="356">
        <v>0</v>
      </c>
      <c r="H42" s="356">
        <v>0</v>
      </c>
      <c r="I42" s="356">
        <v>0</v>
      </c>
      <c r="J42" s="356">
        <v>0</v>
      </c>
      <c r="K42" s="356">
        <v>0.8</v>
      </c>
      <c r="L42" s="356">
        <v>0.8</v>
      </c>
      <c r="M42" s="356">
        <v>0.8</v>
      </c>
      <c r="N42" s="356">
        <v>0.8</v>
      </c>
      <c r="O42" s="356">
        <v>0.8</v>
      </c>
      <c r="P42" s="356">
        <v>0.8</v>
      </c>
      <c r="Q42" s="356">
        <v>0.8</v>
      </c>
      <c r="R42" s="356">
        <v>0.8</v>
      </c>
      <c r="S42" s="356">
        <v>0.8</v>
      </c>
      <c r="T42" s="356">
        <v>0.8</v>
      </c>
      <c r="U42" s="356">
        <v>0.8</v>
      </c>
      <c r="V42" s="356">
        <v>0.8</v>
      </c>
      <c r="W42" s="356">
        <v>0</v>
      </c>
      <c r="X42" s="356">
        <v>0</v>
      </c>
      <c r="Y42" s="356">
        <v>0</v>
      </c>
      <c r="Z42" s="356">
        <v>0</v>
      </c>
      <c r="AA42" s="356">
        <v>0</v>
      </c>
      <c r="AB42" s="357">
        <v>0</v>
      </c>
      <c r="AL42" s="193"/>
    </row>
    <row r="43" spans="1:40" ht="33" customHeight="1" thickBot="1">
      <c r="A43" s="550"/>
      <c r="B43" s="553"/>
      <c r="C43" s="556"/>
      <c r="D43" s="421" t="s">
        <v>677</v>
      </c>
      <c r="E43" s="291">
        <v>0</v>
      </c>
      <c r="F43" s="291">
        <v>0</v>
      </c>
      <c r="G43" s="291">
        <v>0</v>
      </c>
      <c r="H43" s="291">
        <v>0</v>
      </c>
      <c r="I43" s="291">
        <v>0</v>
      </c>
      <c r="J43" s="291">
        <v>0</v>
      </c>
      <c r="K43" s="291">
        <v>1</v>
      </c>
      <c r="L43" s="291">
        <v>1</v>
      </c>
      <c r="M43" s="291">
        <v>1</v>
      </c>
      <c r="N43" s="291">
        <v>1</v>
      </c>
      <c r="O43" s="291">
        <v>1</v>
      </c>
      <c r="P43" s="291">
        <v>1</v>
      </c>
      <c r="Q43" s="291">
        <v>1</v>
      </c>
      <c r="R43" s="291">
        <v>1</v>
      </c>
      <c r="S43" s="291">
        <v>1</v>
      </c>
      <c r="T43" s="291">
        <v>1</v>
      </c>
      <c r="U43" s="291">
        <v>1</v>
      </c>
      <c r="V43" s="291">
        <v>1</v>
      </c>
      <c r="W43" s="291">
        <v>0</v>
      </c>
      <c r="X43" s="291">
        <v>0</v>
      </c>
      <c r="Y43" s="291">
        <v>0</v>
      </c>
      <c r="Z43" s="291">
        <v>0</v>
      </c>
      <c r="AA43" s="291">
        <v>0</v>
      </c>
      <c r="AB43" s="358">
        <v>0</v>
      </c>
      <c r="AL43" s="193"/>
    </row>
    <row r="44" spans="1:40" ht="33" customHeight="1">
      <c r="A44" s="559"/>
      <c r="B44" s="561"/>
      <c r="C44" s="563"/>
      <c r="D44" s="421" t="s">
        <v>678</v>
      </c>
      <c r="E44" s="356">
        <v>0</v>
      </c>
      <c r="F44" s="356">
        <v>0</v>
      </c>
      <c r="G44" s="356">
        <v>0</v>
      </c>
      <c r="H44" s="356">
        <v>0</v>
      </c>
      <c r="I44" s="356">
        <v>0</v>
      </c>
      <c r="J44" s="356">
        <v>0</v>
      </c>
      <c r="K44" s="356">
        <v>0.8</v>
      </c>
      <c r="L44" s="356">
        <v>0.8</v>
      </c>
      <c r="M44" s="356">
        <v>0.8</v>
      </c>
      <c r="N44" s="356">
        <v>0.8</v>
      </c>
      <c r="O44" s="356">
        <v>0.8</v>
      </c>
      <c r="P44" s="356">
        <v>0.8</v>
      </c>
      <c r="Q44" s="356">
        <v>0.8</v>
      </c>
      <c r="R44" s="356">
        <v>0.8</v>
      </c>
      <c r="S44" s="356">
        <v>0.8</v>
      </c>
      <c r="T44" s="356">
        <v>0.8</v>
      </c>
      <c r="U44" s="356">
        <v>0.8</v>
      </c>
      <c r="V44" s="356">
        <v>0.8</v>
      </c>
      <c r="W44" s="356">
        <v>0</v>
      </c>
      <c r="X44" s="356">
        <v>0</v>
      </c>
      <c r="Y44" s="356">
        <v>0</v>
      </c>
      <c r="Z44" s="356">
        <v>0</v>
      </c>
      <c r="AA44" s="356">
        <v>0</v>
      </c>
      <c r="AB44" s="357">
        <v>0</v>
      </c>
      <c r="AL44" s="193"/>
    </row>
    <row r="45" spans="1:40" ht="39" customHeight="1" thickBot="1">
      <c r="A45" s="551"/>
      <c r="B45" s="554"/>
      <c r="C45" s="557"/>
      <c r="D45" s="422" t="s">
        <v>679</v>
      </c>
      <c r="E45" s="359">
        <v>0</v>
      </c>
      <c r="F45" s="359">
        <v>0</v>
      </c>
      <c r="G45" s="359">
        <v>0</v>
      </c>
      <c r="H45" s="359">
        <v>0</v>
      </c>
      <c r="I45" s="359">
        <v>0</v>
      </c>
      <c r="J45" s="359">
        <v>0</v>
      </c>
      <c r="K45" s="359">
        <v>0</v>
      </c>
      <c r="L45" s="359">
        <v>0</v>
      </c>
      <c r="M45" s="359">
        <v>0</v>
      </c>
      <c r="N45" s="359">
        <v>0</v>
      </c>
      <c r="O45" s="359">
        <v>0</v>
      </c>
      <c r="P45" s="359">
        <v>0</v>
      </c>
      <c r="Q45" s="359">
        <v>0</v>
      </c>
      <c r="R45" s="359">
        <v>0</v>
      </c>
      <c r="S45" s="359">
        <v>0</v>
      </c>
      <c r="T45" s="359">
        <v>0</v>
      </c>
      <c r="U45" s="359">
        <v>0</v>
      </c>
      <c r="V45" s="359">
        <v>0</v>
      </c>
      <c r="W45" s="359">
        <v>0</v>
      </c>
      <c r="X45" s="359">
        <v>0</v>
      </c>
      <c r="Y45" s="359">
        <v>0</v>
      </c>
      <c r="Z45" s="359">
        <v>0</v>
      </c>
      <c r="AA45" s="359">
        <v>0</v>
      </c>
      <c r="AB45" s="360">
        <v>0</v>
      </c>
      <c r="AL45" s="193"/>
    </row>
    <row r="46" spans="1:40">
      <c r="A46" s="549" t="s">
        <v>680</v>
      </c>
      <c r="B46" s="552" t="s">
        <v>681</v>
      </c>
      <c r="C46" s="555" t="s">
        <v>56</v>
      </c>
      <c r="D46" s="375" t="s">
        <v>522</v>
      </c>
      <c r="E46" s="356">
        <v>1</v>
      </c>
      <c r="F46" s="356">
        <v>1</v>
      </c>
      <c r="G46" s="356">
        <v>1</v>
      </c>
      <c r="H46" s="356">
        <v>1</v>
      </c>
      <c r="I46" s="356">
        <v>1</v>
      </c>
      <c r="J46" s="356">
        <v>1</v>
      </c>
      <c r="K46" s="356">
        <v>1</v>
      </c>
      <c r="L46" s="356">
        <v>1</v>
      </c>
      <c r="M46" s="356">
        <v>1</v>
      </c>
      <c r="N46" s="356">
        <v>1</v>
      </c>
      <c r="O46" s="356">
        <v>1</v>
      </c>
      <c r="P46" s="356">
        <v>1</v>
      </c>
      <c r="Q46" s="356">
        <v>1</v>
      </c>
      <c r="R46" s="356">
        <v>1</v>
      </c>
      <c r="S46" s="356">
        <v>1</v>
      </c>
      <c r="T46" s="356">
        <v>1</v>
      </c>
      <c r="U46" s="356">
        <v>1</v>
      </c>
      <c r="V46" s="356">
        <v>1</v>
      </c>
      <c r="W46" s="356">
        <v>1</v>
      </c>
      <c r="X46" s="356">
        <v>1</v>
      </c>
      <c r="Y46" s="356">
        <v>1</v>
      </c>
      <c r="Z46" s="356">
        <v>1</v>
      </c>
      <c r="AA46" s="356">
        <v>1</v>
      </c>
      <c r="AB46" s="357">
        <v>1</v>
      </c>
    </row>
    <row r="47" spans="1:40">
      <c r="A47" s="550"/>
      <c r="B47" s="553"/>
      <c r="C47" s="556"/>
      <c r="D47" s="292" t="s">
        <v>353</v>
      </c>
      <c r="E47" s="291">
        <v>1</v>
      </c>
      <c r="F47" s="291">
        <v>1</v>
      </c>
      <c r="G47" s="291">
        <v>1</v>
      </c>
      <c r="H47" s="291">
        <v>1</v>
      </c>
      <c r="I47" s="291">
        <v>1</v>
      </c>
      <c r="J47" s="291">
        <v>1</v>
      </c>
      <c r="K47" s="291">
        <v>1</v>
      </c>
      <c r="L47" s="291">
        <v>1</v>
      </c>
      <c r="M47" s="291">
        <v>1</v>
      </c>
      <c r="N47" s="291">
        <v>1</v>
      </c>
      <c r="O47" s="291">
        <v>1</v>
      </c>
      <c r="P47" s="291">
        <v>1</v>
      </c>
      <c r="Q47" s="291">
        <v>1</v>
      </c>
      <c r="R47" s="291">
        <v>1</v>
      </c>
      <c r="S47" s="291">
        <v>1</v>
      </c>
      <c r="T47" s="291">
        <v>1</v>
      </c>
      <c r="U47" s="291">
        <v>1</v>
      </c>
      <c r="V47" s="291">
        <v>1</v>
      </c>
      <c r="W47" s="291">
        <v>1</v>
      </c>
      <c r="X47" s="291">
        <v>1</v>
      </c>
      <c r="Y47" s="291">
        <v>1</v>
      </c>
      <c r="Z47" s="291">
        <v>1</v>
      </c>
      <c r="AA47" s="291">
        <v>1</v>
      </c>
      <c r="AB47" s="358">
        <v>1</v>
      </c>
    </row>
    <row r="48" spans="1:40" ht="12.95" thickBot="1">
      <c r="A48" s="551"/>
      <c r="B48" s="554"/>
      <c r="C48" s="557"/>
      <c r="D48" s="376" t="s">
        <v>354</v>
      </c>
      <c r="E48" s="359">
        <v>1</v>
      </c>
      <c r="F48" s="359">
        <v>1</v>
      </c>
      <c r="G48" s="359">
        <v>1</v>
      </c>
      <c r="H48" s="359">
        <v>1</v>
      </c>
      <c r="I48" s="359">
        <v>1</v>
      </c>
      <c r="J48" s="359">
        <v>1</v>
      </c>
      <c r="K48" s="359">
        <v>1</v>
      </c>
      <c r="L48" s="359">
        <v>1</v>
      </c>
      <c r="M48" s="359">
        <v>1</v>
      </c>
      <c r="N48" s="359">
        <v>1</v>
      </c>
      <c r="O48" s="359">
        <v>1</v>
      </c>
      <c r="P48" s="359">
        <v>1</v>
      </c>
      <c r="Q48" s="359">
        <v>1</v>
      </c>
      <c r="R48" s="359">
        <v>1</v>
      </c>
      <c r="S48" s="359">
        <v>1</v>
      </c>
      <c r="T48" s="359">
        <v>1</v>
      </c>
      <c r="U48" s="359">
        <v>1</v>
      </c>
      <c r="V48" s="359">
        <v>1</v>
      </c>
      <c r="W48" s="359">
        <v>1</v>
      </c>
      <c r="X48" s="359">
        <v>1</v>
      </c>
      <c r="Y48" s="359">
        <v>1</v>
      </c>
      <c r="Z48" s="359">
        <v>1</v>
      </c>
      <c r="AA48" s="359">
        <v>1</v>
      </c>
      <c r="AB48" s="360">
        <v>1</v>
      </c>
    </row>
    <row r="49" spans="1:28" s="154" customFormat="1" ht="12.95">
      <c r="A49" s="549" t="s">
        <v>682</v>
      </c>
      <c r="B49" s="552" t="s">
        <v>681</v>
      </c>
      <c r="C49" s="555" t="s">
        <v>52</v>
      </c>
      <c r="D49" s="375" t="s">
        <v>522</v>
      </c>
      <c r="E49" s="356">
        <v>1</v>
      </c>
      <c r="F49" s="356">
        <v>1</v>
      </c>
      <c r="G49" s="356">
        <v>1</v>
      </c>
      <c r="H49" s="356">
        <v>1</v>
      </c>
      <c r="I49" s="356">
        <v>1</v>
      </c>
      <c r="J49" s="356">
        <v>1</v>
      </c>
      <c r="K49" s="356">
        <v>1</v>
      </c>
      <c r="L49" s="356">
        <v>1</v>
      </c>
      <c r="M49" s="356">
        <v>1</v>
      </c>
      <c r="N49" s="356">
        <v>1</v>
      </c>
      <c r="O49" s="356">
        <v>1</v>
      </c>
      <c r="P49" s="356">
        <v>1</v>
      </c>
      <c r="Q49" s="356">
        <v>1</v>
      </c>
      <c r="R49" s="356">
        <v>1</v>
      </c>
      <c r="S49" s="356">
        <v>1</v>
      </c>
      <c r="T49" s="356">
        <v>1</v>
      </c>
      <c r="U49" s="356">
        <v>1</v>
      </c>
      <c r="V49" s="356">
        <v>1</v>
      </c>
      <c r="W49" s="356">
        <v>1</v>
      </c>
      <c r="X49" s="356">
        <v>1</v>
      </c>
      <c r="Y49" s="356">
        <v>1</v>
      </c>
      <c r="Z49" s="356">
        <v>1</v>
      </c>
      <c r="AA49" s="356">
        <v>1</v>
      </c>
      <c r="AB49" s="357">
        <v>1</v>
      </c>
    </row>
    <row r="50" spans="1:28">
      <c r="A50" s="550"/>
      <c r="B50" s="553"/>
      <c r="C50" s="556"/>
      <c r="D50" s="292" t="s">
        <v>353</v>
      </c>
      <c r="E50" s="291">
        <v>1</v>
      </c>
      <c r="F50" s="291">
        <v>1</v>
      </c>
      <c r="G50" s="291">
        <v>1</v>
      </c>
      <c r="H50" s="291">
        <v>1</v>
      </c>
      <c r="I50" s="291">
        <v>1</v>
      </c>
      <c r="J50" s="291">
        <v>1</v>
      </c>
      <c r="K50" s="291">
        <v>1</v>
      </c>
      <c r="L50" s="291">
        <v>1</v>
      </c>
      <c r="M50" s="291">
        <v>1</v>
      </c>
      <c r="N50" s="291">
        <v>1</v>
      </c>
      <c r="O50" s="291">
        <v>1</v>
      </c>
      <c r="P50" s="291">
        <v>1</v>
      </c>
      <c r="Q50" s="291">
        <v>1</v>
      </c>
      <c r="R50" s="291">
        <v>1</v>
      </c>
      <c r="S50" s="291">
        <v>1</v>
      </c>
      <c r="T50" s="291">
        <v>1</v>
      </c>
      <c r="U50" s="291">
        <v>1</v>
      </c>
      <c r="V50" s="291">
        <v>1</v>
      </c>
      <c r="W50" s="291">
        <v>1</v>
      </c>
      <c r="X50" s="291">
        <v>1</v>
      </c>
      <c r="Y50" s="291">
        <v>1</v>
      </c>
      <c r="Z50" s="291">
        <v>1</v>
      </c>
      <c r="AA50" s="291">
        <v>1</v>
      </c>
      <c r="AB50" s="358">
        <v>1</v>
      </c>
    </row>
    <row r="51" spans="1:28" ht="12.95" thickBot="1">
      <c r="A51" s="559"/>
      <c r="B51" s="554"/>
      <c r="C51" s="563"/>
      <c r="D51" s="434" t="s">
        <v>354</v>
      </c>
      <c r="E51" s="359">
        <v>1</v>
      </c>
      <c r="F51" s="359">
        <v>1</v>
      </c>
      <c r="G51" s="359">
        <v>1</v>
      </c>
      <c r="H51" s="359">
        <v>1</v>
      </c>
      <c r="I51" s="359">
        <v>1</v>
      </c>
      <c r="J51" s="359">
        <v>1</v>
      </c>
      <c r="K51" s="359">
        <v>1</v>
      </c>
      <c r="L51" s="359">
        <v>1</v>
      </c>
      <c r="M51" s="359">
        <v>1</v>
      </c>
      <c r="N51" s="359">
        <v>1</v>
      </c>
      <c r="O51" s="359">
        <v>1</v>
      </c>
      <c r="P51" s="359">
        <v>1</v>
      </c>
      <c r="Q51" s="359">
        <v>1</v>
      </c>
      <c r="R51" s="359">
        <v>1</v>
      </c>
      <c r="S51" s="359">
        <v>1</v>
      </c>
      <c r="T51" s="359">
        <v>1</v>
      </c>
      <c r="U51" s="359">
        <v>1</v>
      </c>
      <c r="V51" s="359">
        <v>1</v>
      </c>
      <c r="W51" s="359">
        <v>1</v>
      </c>
      <c r="X51" s="359">
        <v>1</v>
      </c>
      <c r="Y51" s="359">
        <v>1</v>
      </c>
      <c r="Z51" s="359">
        <v>1</v>
      </c>
      <c r="AA51" s="359">
        <v>1</v>
      </c>
      <c r="AB51" s="360">
        <v>1</v>
      </c>
    </row>
    <row r="52" spans="1:28" s="154" customFormat="1" ht="12.95">
      <c r="A52" s="549" t="s">
        <v>683</v>
      </c>
      <c r="B52" s="552" t="s">
        <v>684</v>
      </c>
      <c r="C52" s="573" t="s">
        <v>52</v>
      </c>
      <c r="D52" s="382" t="s">
        <v>522</v>
      </c>
      <c r="E52" s="356">
        <v>1</v>
      </c>
      <c r="F52" s="356">
        <v>1</v>
      </c>
      <c r="G52" s="356">
        <v>1</v>
      </c>
      <c r="H52" s="356">
        <v>1</v>
      </c>
      <c r="I52" s="356">
        <v>1</v>
      </c>
      <c r="J52" s="356">
        <v>1</v>
      </c>
      <c r="K52" s="356">
        <v>1</v>
      </c>
      <c r="L52" s="356">
        <v>1</v>
      </c>
      <c r="M52" s="356">
        <v>1</v>
      </c>
      <c r="N52" s="356">
        <v>1</v>
      </c>
      <c r="O52" s="356">
        <v>1</v>
      </c>
      <c r="P52" s="356">
        <v>1</v>
      </c>
      <c r="Q52" s="356">
        <v>1</v>
      </c>
      <c r="R52" s="356">
        <v>1</v>
      </c>
      <c r="S52" s="356">
        <v>1</v>
      </c>
      <c r="T52" s="356">
        <v>1</v>
      </c>
      <c r="U52" s="356">
        <v>1</v>
      </c>
      <c r="V52" s="356">
        <v>1</v>
      </c>
      <c r="W52" s="356">
        <v>1</v>
      </c>
      <c r="X52" s="356">
        <v>1</v>
      </c>
      <c r="Y52" s="356">
        <v>1</v>
      </c>
      <c r="Z52" s="356">
        <v>1</v>
      </c>
      <c r="AA52" s="356">
        <v>1</v>
      </c>
      <c r="AB52" s="357">
        <v>1</v>
      </c>
    </row>
    <row r="53" spans="1:28">
      <c r="A53" s="550"/>
      <c r="B53" s="553"/>
      <c r="C53" s="574"/>
      <c r="D53" s="213" t="s">
        <v>353</v>
      </c>
      <c r="E53" s="291">
        <v>1</v>
      </c>
      <c r="F53" s="291">
        <v>1</v>
      </c>
      <c r="G53" s="291">
        <v>1</v>
      </c>
      <c r="H53" s="291">
        <v>1</v>
      </c>
      <c r="I53" s="291">
        <v>1</v>
      </c>
      <c r="J53" s="291">
        <v>1</v>
      </c>
      <c r="K53" s="291">
        <v>1</v>
      </c>
      <c r="L53" s="291">
        <v>1</v>
      </c>
      <c r="M53" s="291">
        <v>1</v>
      </c>
      <c r="N53" s="291">
        <v>1</v>
      </c>
      <c r="O53" s="291">
        <v>1</v>
      </c>
      <c r="P53" s="291">
        <v>1</v>
      </c>
      <c r="Q53" s="291">
        <v>1</v>
      </c>
      <c r="R53" s="291">
        <v>1</v>
      </c>
      <c r="S53" s="291">
        <v>1</v>
      </c>
      <c r="T53" s="291">
        <v>1</v>
      </c>
      <c r="U53" s="291">
        <v>1</v>
      </c>
      <c r="V53" s="291">
        <v>1</v>
      </c>
      <c r="W53" s="291">
        <v>1</v>
      </c>
      <c r="X53" s="291">
        <v>1</v>
      </c>
      <c r="Y53" s="291">
        <v>1</v>
      </c>
      <c r="Z53" s="291">
        <v>1</v>
      </c>
      <c r="AA53" s="291">
        <v>1</v>
      </c>
      <c r="AB53" s="358">
        <v>1</v>
      </c>
    </row>
    <row r="54" spans="1:28" ht="12.95" thickBot="1">
      <c r="A54" s="551"/>
      <c r="B54" s="554"/>
      <c r="C54" s="575"/>
      <c r="D54" s="214" t="s">
        <v>354</v>
      </c>
      <c r="E54" s="359">
        <v>1</v>
      </c>
      <c r="F54" s="359">
        <v>1</v>
      </c>
      <c r="G54" s="359">
        <v>1</v>
      </c>
      <c r="H54" s="359">
        <v>1</v>
      </c>
      <c r="I54" s="359">
        <v>1</v>
      </c>
      <c r="J54" s="359">
        <v>1</v>
      </c>
      <c r="K54" s="359">
        <v>1</v>
      </c>
      <c r="L54" s="359">
        <v>1</v>
      </c>
      <c r="M54" s="359">
        <v>1</v>
      </c>
      <c r="N54" s="359">
        <v>1</v>
      </c>
      <c r="O54" s="359">
        <v>1</v>
      </c>
      <c r="P54" s="359">
        <v>1</v>
      </c>
      <c r="Q54" s="359">
        <v>1</v>
      </c>
      <c r="R54" s="359">
        <v>1</v>
      </c>
      <c r="S54" s="359">
        <v>1</v>
      </c>
      <c r="T54" s="359">
        <v>1</v>
      </c>
      <c r="U54" s="359">
        <v>1</v>
      </c>
      <c r="V54" s="359">
        <v>1</v>
      </c>
      <c r="W54" s="359">
        <v>1</v>
      </c>
      <c r="X54" s="359">
        <v>1</v>
      </c>
      <c r="Y54" s="359">
        <v>1</v>
      </c>
      <c r="Z54" s="359">
        <v>1</v>
      </c>
      <c r="AA54" s="359">
        <v>1</v>
      </c>
      <c r="AB54" s="360">
        <v>1</v>
      </c>
    </row>
    <row r="55" spans="1:28">
      <c r="A55" s="549" t="s">
        <v>685</v>
      </c>
      <c r="B55" s="552" t="s">
        <v>684</v>
      </c>
      <c r="C55" s="573" t="s">
        <v>56</v>
      </c>
      <c r="D55" s="382" t="s">
        <v>522</v>
      </c>
      <c r="E55" s="356">
        <v>0</v>
      </c>
      <c r="F55" s="356">
        <v>1</v>
      </c>
      <c r="G55" s="356">
        <v>1</v>
      </c>
      <c r="H55" s="356">
        <v>1</v>
      </c>
      <c r="I55" s="356">
        <v>1</v>
      </c>
      <c r="J55" s="356">
        <v>1</v>
      </c>
      <c r="K55" s="356">
        <v>1</v>
      </c>
      <c r="L55" s="356">
        <v>1</v>
      </c>
      <c r="M55" s="356">
        <v>1</v>
      </c>
      <c r="N55" s="356">
        <v>1</v>
      </c>
      <c r="O55" s="356">
        <v>1</v>
      </c>
      <c r="P55" s="356">
        <v>1</v>
      </c>
      <c r="Q55" s="356">
        <v>1</v>
      </c>
      <c r="R55" s="356">
        <v>1</v>
      </c>
      <c r="S55" s="356">
        <v>1</v>
      </c>
      <c r="T55" s="356">
        <v>1</v>
      </c>
      <c r="U55" s="356">
        <v>1</v>
      </c>
      <c r="V55" s="356">
        <v>1</v>
      </c>
      <c r="W55" s="356">
        <v>1</v>
      </c>
      <c r="X55" s="356">
        <v>1</v>
      </c>
      <c r="Y55" s="356">
        <v>1</v>
      </c>
      <c r="Z55" s="356">
        <v>1</v>
      </c>
      <c r="AA55" s="356">
        <v>1</v>
      </c>
      <c r="AB55" s="357">
        <v>0</v>
      </c>
    </row>
    <row r="56" spans="1:28">
      <c r="A56" s="550"/>
      <c r="B56" s="553"/>
      <c r="C56" s="574"/>
      <c r="D56" s="213" t="s">
        <v>353</v>
      </c>
      <c r="E56" s="291">
        <v>0</v>
      </c>
      <c r="F56" s="291">
        <v>1</v>
      </c>
      <c r="G56" s="291">
        <v>1</v>
      </c>
      <c r="H56" s="291">
        <v>1</v>
      </c>
      <c r="I56" s="291">
        <v>1</v>
      </c>
      <c r="J56" s="291">
        <v>1</v>
      </c>
      <c r="K56" s="291">
        <v>1</v>
      </c>
      <c r="L56" s="291">
        <v>1</v>
      </c>
      <c r="M56" s="291">
        <v>1</v>
      </c>
      <c r="N56" s="291">
        <v>1</v>
      </c>
      <c r="O56" s="291">
        <v>1</v>
      </c>
      <c r="P56" s="291">
        <v>1</v>
      </c>
      <c r="Q56" s="291">
        <v>1</v>
      </c>
      <c r="R56" s="291">
        <v>1</v>
      </c>
      <c r="S56" s="291">
        <v>1</v>
      </c>
      <c r="T56" s="291">
        <v>1</v>
      </c>
      <c r="U56" s="291">
        <v>1</v>
      </c>
      <c r="V56" s="291">
        <v>1</v>
      </c>
      <c r="W56" s="291">
        <v>1</v>
      </c>
      <c r="X56" s="291">
        <v>1</v>
      </c>
      <c r="Y56" s="291">
        <v>1</v>
      </c>
      <c r="Z56" s="291">
        <v>1</v>
      </c>
      <c r="AA56" s="291">
        <v>1</v>
      </c>
      <c r="AB56" s="358">
        <v>0</v>
      </c>
    </row>
    <row r="57" spans="1:28" ht="12.95" thickBot="1">
      <c r="A57" s="551"/>
      <c r="B57" s="554"/>
      <c r="C57" s="575"/>
      <c r="D57" s="214" t="s">
        <v>354</v>
      </c>
      <c r="E57" s="359">
        <v>0</v>
      </c>
      <c r="F57" s="359">
        <v>1</v>
      </c>
      <c r="G57" s="359">
        <v>1</v>
      </c>
      <c r="H57" s="359">
        <v>1</v>
      </c>
      <c r="I57" s="359">
        <v>1</v>
      </c>
      <c r="J57" s="359">
        <v>1</v>
      </c>
      <c r="K57" s="359">
        <v>1</v>
      </c>
      <c r="L57" s="359">
        <v>1</v>
      </c>
      <c r="M57" s="359">
        <v>1</v>
      </c>
      <c r="N57" s="359">
        <v>1</v>
      </c>
      <c r="O57" s="359">
        <v>1</v>
      </c>
      <c r="P57" s="359">
        <v>1</v>
      </c>
      <c r="Q57" s="359">
        <v>1</v>
      </c>
      <c r="R57" s="359">
        <v>1</v>
      </c>
      <c r="S57" s="359">
        <v>1</v>
      </c>
      <c r="T57" s="359">
        <v>1</v>
      </c>
      <c r="U57" s="359">
        <v>1</v>
      </c>
      <c r="V57" s="359">
        <v>1</v>
      </c>
      <c r="W57" s="359">
        <v>1</v>
      </c>
      <c r="X57" s="359">
        <v>1</v>
      </c>
      <c r="Y57" s="359">
        <v>1</v>
      </c>
      <c r="Z57" s="359">
        <v>1</v>
      </c>
      <c r="AA57" s="359">
        <v>1</v>
      </c>
      <c r="AB57" s="360">
        <v>0</v>
      </c>
    </row>
    <row r="76" spans="29:32" ht="15.95">
      <c r="AC76" s="270"/>
      <c r="AD76" s="270"/>
      <c r="AE76" s="270"/>
      <c r="AF76" s="270"/>
    </row>
    <row r="77" spans="29:32" ht="15.95">
      <c r="AC77" s="270"/>
      <c r="AD77" s="270"/>
      <c r="AE77" s="270"/>
      <c r="AF77" s="270"/>
    </row>
    <row r="78" spans="29:32" ht="15.95">
      <c r="AC78" s="270"/>
      <c r="AD78" s="270"/>
      <c r="AE78" s="270"/>
      <c r="AF78" s="270"/>
    </row>
    <row r="79" spans="29:32" ht="15.95">
      <c r="AC79" s="270"/>
      <c r="AD79" s="270"/>
      <c r="AE79" s="270"/>
      <c r="AF79" s="270"/>
    </row>
    <row r="80" spans="29:32" ht="15.95">
      <c r="AC80" s="270"/>
      <c r="AD80" s="270"/>
      <c r="AE80" s="270"/>
      <c r="AF80" s="270"/>
    </row>
    <row r="81" spans="29:32" ht="15.95">
      <c r="AC81" s="270"/>
      <c r="AD81" s="270"/>
      <c r="AE81" s="270"/>
      <c r="AF81" s="270"/>
    </row>
    <row r="82" spans="29:32" ht="15.95">
      <c r="AC82" s="270"/>
      <c r="AD82" s="270"/>
      <c r="AE82" s="270"/>
      <c r="AF82" s="270"/>
    </row>
    <row r="83" spans="29:32" ht="15.95">
      <c r="AC83" s="270"/>
      <c r="AD83" s="270"/>
      <c r="AE83" s="270"/>
      <c r="AF83" s="270"/>
    </row>
    <row r="9964" spans="5:5">
      <c r="E9964" s="183" t="s">
        <v>686</v>
      </c>
    </row>
  </sheetData>
  <dataConsolidate/>
  <mergeCells count="55">
    <mergeCell ref="A19:A21"/>
    <mergeCell ref="B19:B21"/>
    <mergeCell ref="C19:C21"/>
    <mergeCell ref="A22:A24"/>
    <mergeCell ref="B22:B24"/>
    <mergeCell ref="C22:C24"/>
    <mergeCell ref="A55:A57"/>
    <mergeCell ref="B55:B57"/>
    <mergeCell ref="C55:C57"/>
    <mergeCell ref="A52:A54"/>
    <mergeCell ref="B52:B54"/>
    <mergeCell ref="C52:C54"/>
    <mergeCell ref="A49:A51"/>
    <mergeCell ref="B49:B51"/>
    <mergeCell ref="C49:C51"/>
    <mergeCell ref="A46:A48"/>
    <mergeCell ref="B46:B48"/>
    <mergeCell ref="C46:C48"/>
    <mergeCell ref="A16:A18"/>
    <mergeCell ref="B16:B18"/>
    <mergeCell ref="C16:C18"/>
    <mergeCell ref="A13:A15"/>
    <mergeCell ref="B13:B15"/>
    <mergeCell ref="C13:C15"/>
    <mergeCell ref="A7:A9"/>
    <mergeCell ref="B7:B9"/>
    <mergeCell ref="C7:C9"/>
    <mergeCell ref="A10:A12"/>
    <mergeCell ref="B10:B12"/>
    <mergeCell ref="C10:C12"/>
    <mergeCell ref="A4:AB4"/>
    <mergeCell ref="A5:A6"/>
    <mergeCell ref="B5:B6"/>
    <mergeCell ref="C5:C6"/>
    <mergeCell ref="D5:D6"/>
    <mergeCell ref="E5:AB5"/>
    <mergeCell ref="A25:A27"/>
    <mergeCell ref="B25:B27"/>
    <mergeCell ref="C25:C27"/>
    <mergeCell ref="A28:A30"/>
    <mergeCell ref="B28:B30"/>
    <mergeCell ref="C28:C30"/>
    <mergeCell ref="A31:AB31"/>
    <mergeCell ref="A35:A37"/>
    <mergeCell ref="B35:B37"/>
    <mergeCell ref="C35:C37"/>
    <mergeCell ref="A41:A45"/>
    <mergeCell ref="B41:B45"/>
    <mergeCell ref="C41:C45"/>
    <mergeCell ref="A38:A40"/>
    <mergeCell ref="B38:B40"/>
    <mergeCell ref="C38:C40"/>
    <mergeCell ref="A32:A34"/>
    <mergeCell ref="B32:B34"/>
    <mergeCell ref="C32:C34"/>
  </mergeCells>
  <phoneticPr fontId="9" type="noConversion"/>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6CD65-4C77-BD4A-9DB7-2D1584FA4EEA}">
  <sheetPr>
    <tabColor rgb="FF00B050"/>
  </sheetPr>
  <dimension ref="A1:AO9951"/>
  <sheetViews>
    <sheetView zoomScale="130" zoomScaleNormal="130" workbookViewId="0"/>
  </sheetViews>
  <sheetFormatPr defaultColWidth="9.42578125" defaultRowHeight="12"/>
  <cols>
    <col min="1" max="2" width="17.42578125" style="183" customWidth="1"/>
    <col min="3" max="3" width="19.85546875" style="183" customWidth="1"/>
    <col min="4" max="4" width="27.42578125" style="390" customWidth="1"/>
    <col min="5" max="28" width="5.42578125" style="183" customWidth="1"/>
    <col min="29" max="36" width="9.42578125" style="183"/>
    <col min="37" max="41" width="9.42578125" style="413"/>
    <col min="42" max="16384" width="9.42578125" style="183"/>
  </cols>
  <sheetData>
    <row r="1" spans="1:39" s="3" customFormat="1" ht="25.7" customHeight="1">
      <c r="A1" s="464" t="s">
        <v>2</v>
      </c>
      <c r="B1" s="607"/>
      <c r="C1" s="608"/>
      <c r="D1" s="608"/>
      <c r="E1" s="608"/>
      <c r="F1" s="608"/>
      <c r="G1" s="608"/>
      <c r="H1" s="463"/>
      <c r="I1" s="463"/>
      <c r="J1" s="463"/>
      <c r="K1" s="463"/>
      <c r="L1" s="463"/>
      <c r="M1" s="463"/>
      <c r="N1" s="463"/>
      <c r="O1" s="463"/>
      <c r="P1" s="463"/>
      <c r="Q1" s="463"/>
    </row>
    <row r="3" spans="1:39" ht="40.35" customHeight="1"/>
    <row r="4" spans="1:39" ht="24" customHeight="1">
      <c r="A4" s="508" t="str">
        <f>"Schedules - "&amp;Prototype!A3</f>
        <v>Schedules - Controlled Environment Horticulture</v>
      </c>
      <c r="B4" s="508"/>
      <c r="C4" s="508"/>
      <c r="D4" s="508"/>
      <c r="E4" s="508"/>
      <c r="F4" s="508"/>
      <c r="G4" s="508"/>
      <c r="H4" s="508"/>
      <c r="I4" s="508"/>
      <c r="J4" s="508"/>
      <c r="K4" s="508"/>
      <c r="L4" s="508"/>
      <c r="M4" s="508"/>
      <c r="N4" s="508"/>
      <c r="O4" s="508"/>
      <c r="P4" s="508"/>
      <c r="Q4" s="508"/>
      <c r="R4" s="508"/>
      <c r="S4" s="508"/>
      <c r="T4" s="508"/>
      <c r="U4" s="508"/>
      <c r="V4" s="508"/>
      <c r="W4" s="508"/>
      <c r="X4" s="508"/>
      <c r="Y4" s="508"/>
      <c r="Z4" s="508"/>
      <c r="AA4" s="508"/>
      <c r="AB4" s="508"/>
      <c r="AC4" s="184"/>
      <c r="AD4" s="184"/>
      <c r="AE4" s="184"/>
      <c r="AF4" s="184"/>
      <c r="AG4" s="184"/>
      <c r="AH4" s="185"/>
      <c r="AI4" s="185"/>
      <c r="AJ4" s="185"/>
    </row>
    <row r="5" spans="1:39" ht="24" customHeight="1">
      <c r="A5" s="567" t="s">
        <v>654</v>
      </c>
      <c r="B5" s="567" t="s">
        <v>125</v>
      </c>
      <c r="C5" s="567" t="s">
        <v>655</v>
      </c>
      <c r="D5" s="576" t="s">
        <v>656</v>
      </c>
      <c r="E5" s="569" t="s">
        <v>351</v>
      </c>
      <c r="F5" s="569"/>
      <c r="G5" s="569"/>
      <c r="H5" s="569"/>
      <c r="I5" s="569"/>
      <c r="J5" s="569"/>
      <c r="K5" s="569"/>
      <c r="L5" s="569"/>
      <c r="M5" s="569"/>
      <c r="N5" s="569"/>
      <c r="O5" s="569"/>
      <c r="P5" s="569"/>
      <c r="Q5" s="569"/>
      <c r="R5" s="569"/>
      <c r="S5" s="569"/>
      <c r="T5" s="569"/>
      <c r="U5" s="569"/>
      <c r="V5" s="569"/>
      <c r="W5" s="569"/>
      <c r="X5" s="569"/>
      <c r="Y5" s="569"/>
      <c r="Z5" s="569"/>
      <c r="AA5" s="569"/>
      <c r="AB5" s="569"/>
      <c r="AC5" s="184"/>
      <c r="AD5" s="184"/>
      <c r="AE5" s="184"/>
      <c r="AF5" s="184"/>
      <c r="AG5" s="184"/>
      <c r="AH5" s="185"/>
      <c r="AI5" s="185"/>
      <c r="AJ5" s="185"/>
    </row>
    <row r="6" spans="1:39" ht="25.5" customHeight="1" thickBot="1">
      <c r="A6" s="568"/>
      <c r="B6" s="568"/>
      <c r="C6" s="568"/>
      <c r="D6" s="577"/>
      <c r="E6" s="226">
        <v>1</v>
      </c>
      <c r="F6" s="226">
        <v>2</v>
      </c>
      <c r="G6" s="226">
        <v>3</v>
      </c>
      <c r="H6" s="226">
        <v>4</v>
      </c>
      <c r="I6" s="226">
        <v>5</v>
      </c>
      <c r="J6" s="226">
        <v>6</v>
      </c>
      <c r="K6" s="226">
        <v>7</v>
      </c>
      <c r="L6" s="226">
        <v>8</v>
      </c>
      <c r="M6" s="226">
        <v>9</v>
      </c>
      <c r="N6" s="226">
        <v>10</v>
      </c>
      <c r="O6" s="226">
        <v>11</v>
      </c>
      <c r="P6" s="226">
        <v>12</v>
      </c>
      <c r="Q6" s="226">
        <v>13</v>
      </c>
      <c r="R6" s="226">
        <v>14</v>
      </c>
      <c r="S6" s="226">
        <v>15</v>
      </c>
      <c r="T6" s="226">
        <v>16</v>
      </c>
      <c r="U6" s="226">
        <v>17</v>
      </c>
      <c r="V6" s="226">
        <v>18</v>
      </c>
      <c r="W6" s="226">
        <v>19</v>
      </c>
      <c r="X6" s="226">
        <v>20</v>
      </c>
      <c r="Y6" s="226">
        <v>21</v>
      </c>
      <c r="Z6" s="226">
        <v>22</v>
      </c>
      <c r="AA6" s="226">
        <v>23</v>
      </c>
      <c r="AB6" s="226">
        <v>24</v>
      </c>
      <c r="AC6" s="185"/>
      <c r="AD6" s="185"/>
      <c r="AE6" s="185"/>
      <c r="AF6" s="185"/>
      <c r="AG6" s="185"/>
      <c r="AH6" s="185"/>
      <c r="AI6" s="185"/>
      <c r="AJ6" s="185"/>
      <c r="AL6" s="185"/>
      <c r="AM6" s="415"/>
    </row>
    <row r="7" spans="1:39" ht="39" customHeight="1">
      <c r="A7" s="549" t="s">
        <v>687</v>
      </c>
      <c r="B7" s="552" t="s">
        <v>688</v>
      </c>
      <c r="C7" s="555" t="s">
        <v>56</v>
      </c>
      <c r="D7" s="417" t="s">
        <v>675</v>
      </c>
      <c r="E7" s="386">
        <v>12</v>
      </c>
      <c r="F7" s="386">
        <v>12</v>
      </c>
      <c r="G7" s="386">
        <v>12</v>
      </c>
      <c r="H7" s="386">
        <v>12</v>
      </c>
      <c r="I7" s="386">
        <v>12</v>
      </c>
      <c r="J7" s="386">
        <v>12</v>
      </c>
      <c r="K7" s="383">
        <v>30</v>
      </c>
      <c r="L7" s="383">
        <v>40</v>
      </c>
      <c r="M7" s="383">
        <v>45</v>
      </c>
      <c r="N7" s="383">
        <v>50</v>
      </c>
      <c r="O7" s="383">
        <v>50</v>
      </c>
      <c r="P7" s="383">
        <v>50</v>
      </c>
      <c r="Q7" s="383">
        <v>50</v>
      </c>
      <c r="R7" s="383">
        <v>50</v>
      </c>
      <c r="S7" s="383">
        <v>50</v>
      </c>
      <c r="T7" s="383">
        <v>50</v>
      </c>
      <c r="U7" s="383">
        <v>50</v>
      </c>
      <c r="V7" s="383">
        <v>50</v>
      </c>
      <c r="W7" s="386">
        <v>35</v>
      </c>
      <c r="X7" s="386">
        <v>25</v>
      </c>
      <c r="Y7" s="386">
        <v>20</v>
      </c>
      <c r="Z7" s="386">
        <v>18</v>
      </c>
      <c r="AA7" s="386">
        <v>16</v>
      </c>
      <c r="AB7" s="386">
        <v>14</v>
      </c>
      <c r="AC7" s="185"/>
      <c r="AD7" s="185"/>
      <c r="AE7" s="185"/>
      <c r="AF7" s="185"/>
      <c r="AG7" s="185"/>
      <c r="AH7" s="185"/>
      <c r="AI7" s="185"/>
      <c r="AJ7" s="185"/>
      <c r="AL7" s="414"/>
      <c r="AM7" s="415"/>
    </row>
    <row r="8" spans="1:39" ht="39" customHeight="1">
      <c r="A8" s="558"/>
      <c r="B8" s="560"/>
      <c r="C8" s="562"/>
      <c r="D8" s="421" t="s">
        <v>676</v>
      </c>
      <c r="E8" s="387">
        <v>14</v>
      </c>
      <c r="F8" s="387">
        <v>14</v>
      </c>
      <c r="G8" s="387">
        <v>14</v>
      </c>
      <c r="H8" s="387">
        <v>14</v>
      </c>
      <c r="I8" s="387">
        <v>14</v>
      </c>
      <c r="J8" s="387">
        <v>14</v>
      </c>
      <c r="K8" s="384">
        <v>60</v>
      </c>
      <c r="L8" s="384">
        <v>70</v>
      </c>
      <c r="M8" s="384">
        <v>75</v>
      </c>
      <c r="N8" s="384">
        <v>80</v>
      </c>
      <c r="O8" s="384">
        <v>80</v>
      </c>
      <c r="P8" s="384">
        <v>80</v>
      </c>
      <c r="Q8" s="384">
        <v>80</v>
      </c>
      <c r="R8" s="384">
        <v>80</v>
      </c>
      <c r="S8" s="384">
        <v>80</v>
      </c>
      <c r="T8" s="384">
        <v>80</v>
      </c>
      <c r="U8" s="384">
        <v>80</v>
      </c>
      <c r="V8" s="384">
        <v>80</v>
      </c>
      <c r="W8" s="387">
        <v>60</v>
      </c>
      <c r="X8" s="387">
        <v>43</v>
      </c>
      <c r="Y8" s="387">
        <v>34</v>
      </c>
      <c r="Z8" s="387">
        <v>26</v>
      </c>
      <c r="AA8" s="387">
        <v>22</v>
      </c>
      <c r="AB8" s="392">
        <v>18</v>
      </c>
      <c r="AC8" s="185"/>
      <c r="AD8" s="185"/>
      <c r="AE8" s="185"/>
      <c r="AF8" s="185"/>
      <c r="AG8" s="185"/>
      <c r="AH8" s="185"/>
      <c r="AI8" s="185"/>
      <c r="AJ8" s="185"/>
      <c r="AL8" s="414"/>
      <c r="AM8" s="415"/>
    </row>
    <row r="9" spans="1:39" ht="33" customHeight="1">
      <c r="A9" s="550"/>
      <c r="B9" s="553"/>
      <c r="C9" s="556"/>
      <c r="D9" s="421" t="s">
        <v>677</v>
      </c>
      <c r="E9" s="387">
        <v>18</v>
      </c>
      <c r="F9" s="387">
        <v>18</v>
      </c>
      <c r="G9" s="387">
        <v>18</v>
      </c>
      <c r="H9" s="387">
        <v>18</v>
      </c>
      <c r="I9" s="387">
        <v>18</v>
      </c>
      <c r="J9" s="387">
        <v>18</v>
      </c>
      <c r="K9" s="384">
        <v>73</v>
      </c>
      <c r="L9" s="384">
        <v>82</v>
      </c>
      <c r="M9" s="384">
        <v>91</v>
      </c>
      <c r="N9" s="384">
        <v>100</v>
      </c>
      <c r="O9" s="384">
        <v>100</v>
      </c>
      <c r="P9" s="384">
        <v>100</v>
      </c>
      <c r="Q9" s="384">
        <v>100</v>
      </c>
      <c r="R9" s="384">
        <v>100</v>
      </c>
      <c r="S9" s="384">
        <v>100</v>
      </c>
      <c r="T9" s="384">
        <v>100</v>
      </c>
      <c r="U9" s="384">
        <v>100</v>
      </c>
      <c r="V9" s="384">
        <v>100</v>
      </c>
      <c r="W9" s="387">
        <v>75</v>
      </c>
      <c r="X9" s="387">
        <v>54</v>
      </c>
      <c r="Y9" s="387">
        <v>41</v>
      </c>
      <c r="Z9" s="387">
        <v>31</v>
      </c>
      <c r="AA9" s="387">
        <v>26</v>
      </c>
      <c r="AB9" s="392">
        <v>21</v>
      </c>
      <c r="AC9" s="185"/>
      <c r="AD9" s="185"/>
      <c r="AE9" s="185"/>
      <c r="AF9" s="185"/>
      <c r="AG9" s="185"/>
      <c r="AH9" s="185"/>
      <c r="AI9" s="185"/>
      <c r="AJ9" s="185"/>
      <c r="AL9" s="414"/>
      <c r="AM9" s="416"/>
    </row>
    <row r="10" spans="1:39" ht="33" customHeight="1">
      <c r="A10" s="559"/>
      <c r="B10" s="561"/>
      <c r="C10" s="563"/>
      <c r="D10" s="421" t="s">
        <v>678</v>
      </c>
      <c r="E10" s="387">
        <v>25</v>
      </c>
      <c r="F10" s="387">
        <v>25</v>
      </c>
      <c r="G10" s="387">
        <v>25</v>
      </c>
      <c r="H10" s="387">
        <v>25</v>
      </c>
      <c r="I10" s="387">
        <v>25</v>
      </c>
      <c r="J10" s="387">
        <v>25</v>
      </c>
      <c r="K10" s="384">
        <v>68</v>
      </c>
      <c r="L10" s="384">
        <v>75</v>
      </c>
      <c r="M10" s="384">
        <v>83</v>
      </c>
      <c r="N10" s="384">
        <v>90</v>
      </c>
      <c r="O10" s="384">
        <v>90</v>
      </c>
      <c r="P10" s="384">
        <v>90</v>
      </c>
      <c r="Q10" s="384">
        <v>90</v>
      </c>
      <c r="R10" s="384">
        <v>90</v>
      </c>
      <c r="S10" s="384">
        <v>90</v>
      </c>
      <c r="T10" s="384">
        <v>90</v>
      </c>
      <c r="U10" s="384">
        <v>90</v>
      </c>
      <c r="V10" s="384">
        <v>90</v>
      </c>
      <c r="W10" s="387">
        <v>70</v>
      </c>
      <c r="X10" s="387">
        <v>55</v>
      </c>
      <c r="Y10" s="387">
        <v>40</v>
      </c>
      <c r="Z10" s="387">
        <v>35</v>
      </c>
      <c r="AA10" s="387">
        <v>30</v>
      </c>
      <c r="AB10" s="392">
        <v>28</v>
      </c>
      <c r="AC10" s="185"/>
      <c r="AD10" s="185"/>
      <c r="AE10" s="185"/>
      <c r="AF10" s="185"/>
      <c r="AG10" s="185"/>
      <c r="AH10" s="185"/>
      <c r="AI10" s="185"/>
      <c r="AJ10" s="185"/>
      <c r="AL10" s="414"/>
      <c r="AM10" s="415"/>
    </row>
    <row r="11" spans="1:39" ht="39" customHeight="1" thickBot="1">
      <c r="A11" s="551"/>
      <c r="B11" s="554"/>
      <c r="C11" s="557"/>
      <c r="D11" s="422" t="s">
        <v>679</v>
      </c>
      <c r="E11" s="388">
        <v>0</v>
      </c>
      <c r="F11" s="388">
        <v>0</v>
      </c>
      <c r="G11" s="388">
        <v>0</v>
      </c>
      <c r="H11" s="388">
        <v>0</v>
      </c>
      <c r="I11" s="388">
        <v>0</v>
      </c>
      <c r="J11" s="388">
        <v>0</v>
      </c>
      <c r="K11" s="385">
        <v>0</v>
      </c>
      <c r="L11" s="385">
        <v>0</v>
      </c>
      <c r="M11" s="385">
        <v>0</v>
      </c>
      <c r="N11" s="385">
        <v>0</v>
      </c>
      <c r="O11" s="385">
        <v>0</v>
      </c>
      <c r="P11" s="385">
        <v>0</v>
      </c>
      <c r="Q11" s="385">
        <v>0</v>
      </c>
      <c r="R11" s="385">
        <v>0</v>
      </c>
      <c r="S11" s="385">
        <v>0</v>
      </c>
      <c r="T11" s="385">
        <v>0</v>
      </c>
      <c r="U11" s="385">
        <v>0</v>
      </c>
      <c r="V11" s="385">
        <v>0</v>
      </c>
      <c r="W11" s="388">
        <v>0</v>
      </c>
      <c r="X11" s="388">
        <v>0</v>
      </c>
      <c r="Y11" s="388">
        <v>0</v>
      </c>
      <c r="Z11" s="388">
        <v>0</v>
      </c>
      <c r="AA11" s="388">
        <v>0</v>
      </c>
      <c r="AB11" s="388">
        <v>0</v>
      </c>
      <c r="AC11" s="185"/>
      <c r="AD11" s="185"/>
      <c r="AE11" s="185"/>
      <c r="AF11" s="185"/>
      <c r="AG11" s="185"/>
      <c r="AH11" s="185"/>
      <c r="AI11" s="185"/>
      <c r="AJ11" s="185"/>
      <c r="AL11" s="414"/>
      <c r="AM11" s="415"/>
    </row>
    <row r="12" spans="1:39" ht="39" customHeight="1">
      <c r="A12" s="549" t="s">
        <v>689</v>
      </c>
      <c r="B12" s="552" t="s">
        <v>690</v>
      </c>
      <c r="C12" s="555" t="s">
        <v>56</v>
      </c>
      <c r="D12" s="417" t="s">
        <v>691</v>
      </c>
      <c r="E12" s="386">
        <v>79</v>
      </c>
      <c r="F12" s="386">
        <v>79</v>
      </c>
      <c r="G12" s="386">
        <v>79</v>
      </c>
      <c r="H12" s="386">
        <v>79</v>
      </c>
      <c r="I12" s="386">
        <v>79</v>
      </c>
      <c r="J12" s="386">
        <v>79</v>
      </c>
      <c r="K12" s="383">
        <v>82</v>
      </c>
      <c r="L12" s="383">
        <v>82</v>
      </c>
      <c r="M12" s="383">
        <v>82</v>
      </c>
      <c r="N12" s="383">
        <v>82</v>
      </c>
      <c r="O12" s="383">
        <v>82</v>
      </c>
      <c r="P12" s="383">
        <v>82</v>
      </c>
      <c r="Q12" s="383">
        <v>82</v>
      </c>
      <c r="R12" s="383">
        <v>82</v>
      </c>
      <c r="S12" s="383">
        <v>82</v>
      </c>
      <c r="T12" s="383">
        <v>82</v>
      </c>
      <c r="U12" s="383">
        <v>82</v>
      </c>
      <c r="V12" s="383">
        <v>82</v>
      </c>
      <c r="W12" s="386">
        <v>79</v>
      </c>
      <c r="X12" s="386">
        <v>79</v>
      </c>
      <c r="Y12" s="386">
        <v>79</v>
      </c>
      <c r="Z12" s="386">
        <v>79</v>
      </c>
      <c r="AA12" s="386">
        <v>79</v>
      </c>
      <c r="AB12" s="386">
        <v>79</v>
      </c>
      <c r="AC12" s="185"/>
      <c r="AD12" s="185"/>
      <c r="AE12" s="185"/>
      <c r="AF12" s="185"/>
      <c r="AG12" s="185"/>
      <c r="AH12" s="185"/>
      <c r="AI12" s="185"/>
      <c r="AJ12" s="185"/>
      <c r="AL12" s="414"/>
    </row>
    <row r="13" spans="1:39" ht="33" customHeight="1">
      <c r="A13" s="550"/>
      <c r="B13" s="553"/>
      <c r="C13" s="556"/>
      <c r="D13" s="418" t="s">
        <v>677</v>
      </c>
      <c r="E13" s="387">
        <v>75</v>
      </c>
      <c r="F13" s="387">
        <v>75</v>
      </c>
      <c r="G13" s="387">
        <v>75</v>
      </c>
      <c r="H13" s="387">
        <v>75</v>
      </c>
      <c r="I13" s="387">
        <v>75</v>
      </c>
      <c r="J13" s="387">
        <v>75</v>
      </c>
      <c r="K13" s="384">
        <v>79</v>
      </c>
      <c r="L13" s="384">
        <v>79</v>
      </c>
      <c r="M13" s="384">
        <v>79</v>
      </c>
      <c r="N13" s="384">
        <v>79</v>
      </c>
      <c r="O13" s="384">
        <v>79</v>
      </c>
      <c r="P13" s="384">
        <v>79</v>
      </c>
      <c r="Q13" s="384">
        <v>79</v>
      </c>
      <c r="R13" s="384">
        <v>79</v>
      </c>
      <c r="S13" s="384">
        <v>79</v>
      </c>
      <c r="T13" s="384">
        <v>79</v>
      </c>
      <c r="U13" s="384">
        <v>79</v>
      </c>
      <c r="V13" s="384">
        <v>79</v>
      </c>
      <c r="W13" s="387">
        <v>75</v>
      </c>
      <c r="X13" s="387">
        <v>75</v>
      </c>
      <c r="Y13" s="387">
        <v>75</v>
      </c>
      <c r="Z13" s="387">
        <v>75</v>
      </c>
      <c r="AA13" s="387">
        <v>75</v>
      </c>
      <c r="AB13" s="387">
        <v>75</v>
      </c>
      <c r="AC13" s="185"/>
      <c r="AD13" s="185"/>
      <c r="AE13" s="185"/>
      <c r="AF13" s="185"/>
      <c r="AG13" s="185"/>
      <c r="AH13" s="185"/>
      <c r="AI13" s="185"/>
      <c r="AJ13" s="185"/>
      <c r="AL13" s="414"/>
    </row>
    <row r="14" spans="1:39" ht="33" customHeight="1">
      <c r="A14" s="559"/>
      <c r="B14" s="561"/>
      <c r="C14" s="563"/>
      <c r="D14" s="418" t="s">
        <v>678</v>
      </c>
      <c r="E14" s="387">
        <v>70</v>
      </c>
      <c r="F14" s="387">
        <v>70</v>
      </c>
      <c r="G14" s="387">
        <v>70</v>
      </c>
      <c r="H14" s="387">
        <v>70</v>
      </c>
      <c r="I14" s="387">
        <v>70</v>
      </c>
      <c r="J14" s="387">
        <v>70</v>
      </c>
      <c r="K14" s="384">
        <v>73</v>
      </c>
      <c r="L14" s="384">
        <v>73</v>
      </c>
      <c r="M14" s="384">
        <v>73</v>
      </c>
      <c r="N14" s="384">
        <v>73</v>
      </c>
      <c r="O14" s="384">
        <v>73</v>
      </c>
      <c r="P14" s="384">
        <v>73</v>
      </c>
      <c r="Q14" s="384">
        <v>73</v>
      </c>
      <c r="R14" s="384">
        <v>73</v>
      </c>
      <c r="S14" s="384">
        <v>73</v>
      </c>
      <c r="T14" s="384">
        <v>73</v>
      </c>
      <c r="U14" s="384">
        <v>73</v>
      </c>
      <c r="V14" s="384">
        <v>73</v>
      </c>
      <c r="W14" s="387">
        <v>70</v>
      </c>
      <c r="X14" s="387">
        <v>70</v>
      </c>
      <c r="Y14" s="387">
        <v>70</v>
      </c>
      <c r="Z14" s="387">
        <v>70</v>
      </c>
      <c r="AA14" s="387">
        <v>70</v>
      </c>
      <c r="AB14" s="387">
        <v>70</v>
      </c>
      <c r="AC14" s="185"/>
      <c r="AD14" s="185"/>
      <c r="AE14" s="185"/>
      <c r="AF14" s="185"/>
      <c r="AG14" s="185"/>
      <c r="AH14" s="185"/>
      <c r="AI14" s="185"/>
      <c r="AJ14" s="185"/>
      <c r="AL14" s="414"/>
    </row>
    <row r="15" spans="1:39" ht="39" customHeight="1" thickBot="1">
      <c r="A15" s="551"/>
      <c r="B15" s="554"/>
      <c r="C15" s="557"/>
      <c r="D15" s="419" t="s">
        <v>679</v>
      </c>
      <c r="E15" s="388">
        <v>75</v>
      </c>
      <c r="F15" s="388">
        <v>75</v>
      </c>
      <c r="G15" s="388">
        <v>75</v>
      </c>
      <c r="H15" s="388">
        <v>75</v>
      </c>
      <c r="I15" s="388">
        <v>75</v>
      </c>
      <c r="J15" s="388">
        <v>75</v>
      </c>
      <c r="K15" s="385">
        <v>75</v>
      </c>
      <c r="L15" s="385">
        <v>75</v>
      </c>
      <c r="M15" s="385">
        <v>75</v>
      </c>
      <c r="N15" s="385">
        <v>75</v>
      </c>
      <c r="O15" s="385">
        <v>75</v>
      </c>
      <c r="P15" s="385">
        <v>75</v>
      </c>
      <c r="Q15" s="385">
        <v>75</v>
      </c>
      <c r="R15" s="385">
        <v>75</v>
      </c>
      <c r="S15" s="385">
        <v>75</v>
      </c>
      <c r="T15" s="385">
        <v>75</v>
      </c>
      <c r="U15" s="385">
        <v>75</v>
      </c>
      <c r="V15" s="385">
        <v>75</v>
      </c>
      <c r="W15" s="388">
        <v>75</v>
      </c>
      <c r="X15" s="388">
        <v>75</v>
      </c>
      <c r="Y15" s="388">
        <v>75</v>
      </c>
      <c r="Z15" s="388">
        <v>75</v>
      </c>
      <c r="AA15" s="388">
        <v>75</v>
      </c>
      <c r="AB15" s="388">
        <v>75</v>
      </c>
      <c r="AC15" s="185"/>
      <c r="AD15" s="185"/>
      <c r="AE15" s="185"/>
      <c r="AF15" s="185"/>
      <c r="AG15" s="185"/>
      <c r="AH15" s="185"/>
      <c r="AI15" s="185"/>
      <c r="AJ15" s="185"/>
      <c r="AL15" s="414"/>
    </row>
    <row r="16" spans="1:39" ht="39" customHeight="1">
      <c r="A16" s="549" t="s">
        <v>692</v>
      </c>
      <c r="B16" s="552" t="s">
        <v>690</v>
      </c>
      <c r="C16" s="555" t="s">
        <v>56</v>
      </c>
      <c r="D16" s="417" t="s">
        <v>691</v>
      </c>
      <c r="E16" s="386">
        <v>65</v>
      </c>
      <c r="F16" s="386">
        <v>65</v>
      </c>
      <c r="G16" s="386">
        <v>65</v>
      </c>
      <c r="H16" s="386">
        <v>65</v>
      </c>
      <c r="I16" s="386">
        <v>65</v>
      </c>
      <c r="J16" s="386">
        <v>65</v>
      </c>
      <c r="K16" s="383">
        <v>67</v>
      </c>
      <c r="L16" s="383">
        <v>67</v>
      </c>
      <c r="M16" s="383">
        <v>67</v>
      </c>
      <c r="N16" s="383">
        <v>67</v>
      </c>
      <c r="O16" s="383">
        <v>67</v>
      </c>
      <c r="P16" s="383">
        <v>67</v>
      </c>
      <c r="Q16" s="383">
        <v>67</v>
      </c>
      <c r="R16" s="383">
        <v>67</v>
      </c>
      <c r="S16" s="383">
        <v>67</v>
      </c>
      <c r="T16" s="383">
        <v>67</v>
      </c>
      <c r="U16" s="383">
        <v>67</v>
      </c>
      <c r="V16" s="383">
        <v>67</v>
      </c>
      <c r="W16" s="386">
        <v>65</v>
      </c>
      <c r="X16" s="386">
        <v>65</v>
      </c>
      <c r="Y16" s="386">
        <v>65</v>
      </c>
      <c r="Z16" s="386">
        <v>65</v>
      </c>
      <c r="AA16" s="386">
        <v>65</v>
      </c>
      <c r="AB16" s="386">
        <v>65</v>
      </c>
      <c r="AC16" s="185"/>
      <c r="AD16" s="185"/>
      <c r="AE16" s="185"/>
      <c r="AF16" s="185"/>
      <c r="AG16" s="185"/>
      <c r="AH16" s="185"/>
      <c r="AI16" s="185"/>
      <c r="AJ16" s="185"/>
      <c r="AL16" s="414"/>
    </row>
    <row r="17" spans="1:38" ht="33" customHeight="1">
      <c r="A17" s="550"/>
      <c r="B17" s="553"/>
      <c r="C17" s="556"/>
      <c r="D17" s="418" t="s">
        <v>677</v>
      </c>
      <c r="E17" s="387">
        <v>54</v>
      </c>
      <c r="F17" s="387">
        <v>54</v>
      </c>
      <c r="G17" s="387">
        <v>54</v>
      </c>
      <c r="H17" s="387">
        <v>54</v>
      </c>
      <c r="I17" s="387">
        <v>54</v>
      </c>
      <c r="J17" s="387">
        <v>54</v>
      </c>
      <c r="K17" s="384">
        <v>57</v>
      </c>
      <c r="L17" s="384">
        <v>57</v>
      </c>
      <c r="M17" s="384">
        <v>57</v>
      </c>
      <c r="N17" s="384">
        <v>57</v>
      </c>
      <c r="O17" s="384">
        <v>57</v>
      </c>
      <c r="P17" s="384">
        <v>57</v>
      </c>
      <c r="Q17" s="384">
        <v>57</v>
      </c>
      <c r="R17" s="384">
        <v>57</v>
      </c>
      <c r="S17" s="384">
        <v>57</v>
      </c>
      <c r="T17" s="384">
        <v>57</v>
      </c>
      <c r="U17" s="384">
        <v>57</v>
      </c>
      <c r="V17" s="384">
        <v>57</v>
      </c>
      <c r="W17" s="387">
        <v>54</v>
      </c>
      <c r="X17" s="387">
        <v>54</v>
      </c>
      <c r="Y17" s="387">
        <v>54</v>
      </c>
      <c r="Z17" s="387">
        <v>54</v>
      </c>
      <c r="AA17" s="387">
        <v>54</v>
      </c>
      <c r="AB17" s="387">
        <v>54</v>
      </c>
      <c r="AC17" s="185"/>
      <c r="AD17" s="185"/>
      <c r="AE17" s="185"/>
      <c r="AF17" s="185"/>
      <c r="AG17" s="185"/>
      <c r="AH17" s="185"/>
      <c r="AI17" s="185"/>
      <c r="AJ17" s="185"/>
      <c r="AL17" s="414"/>
    </row>
    <row r="18" spans="1:38" ht="33" customHeight="1">
      <c r="A18" s="559"/>
      <c r="B18" s="561"/>
      <c r="C18" s="563"/>
      <c r="D18" s="418" t="s">
        <v>678</v>
      </c>
      <c r="E18" s="387">
        <v>46</v>
      </c>
      <c r="F18" s="387">
        <v>46</v>
      </c>
      <c r="G18" s="387">
        <v>46</v>
      </c>
      <c r="H18" s="387">
        <v>46</v>
      </c>
      <c r="I18" s="387">
        <v>46</v>
      </c>
      <c r="J18" s="387">
        <v>46</v>
      </c>
      <c r="K18" s="384">
        <v>48</v>
      </c>
      <c r="L18" s="384">
        <v>48</v>
      </c>
      <c r="M18" s="384">
        <v>48</v>
      </c>
      <c r="N18" s="384">
        <v>48</v>
      </c>
      <c r="O18" s="384">
        <v>48</v>
      </c>
      <c r="P18" s="384">
        <v>48</v>
      </c>
      <c r="Q18" s="384">
        <v>48</v>
      </c>
      <c r="R18" s="384">
        <v>48</v>
      </c>
      <c r="S18" s="384">
        <v>48</v>
      </c>
      <c r="T18" s="384">
        <v>48</v>
      </c>
      <c r="U18" s="384">
        <v>48</v>
      </c>
      <c r="V18" s="384">
        <v>48</v>
      </c>
      <c r="W18" s="387">
        <v>46</v>
      </c>
      <c r="X18" s="387">
        <v>46</v>
      </c>
      <c r="Y18" s="387">
        <v>46</v>
      </c>
      <c r="Z18" s="387">
        <v>46</v>
      </c>
      <c r="AA18" s="387">
        <v>46</v>
      </c>
      <c r="AB18" s="387">
        <v>46</v>
      </c>
      <c r="AC18" s="412"/>
      <c r="AD18" s="185"/>
      <c r="AE18" s="185"/>
      <c r="AF18" s="185"/>
      <c r="AG18" s="185"/>
      <c r="AH18" s="185"/>
      <c r="AI18" s="185"/>
      <c r="AJ18" s="185"/>
      <c r="AL18" s="414"/>
    </row>
    <row r="19" spans="1:38" ht="39" customHeight="1" thickBot="1">
      <c r="A19" s="551"/>
      <c r="B19" s="554"/>
      <c r="C19" s="557"/>
      <c r="D19" s="419" t="s">
        <v>679</v>
      </c>
      <c r="E19" s="388">
        <v>50</v>
      </c>
      <c r="F19" s="388">
        <v>50</v>
      </c>
      <c r="G19" s="388">
        <v>50</v>
      </c>
      <c r="H19" s="388">
        <v>50</v>
      </c>
      <c r="I19" s="388">
        <v>50</v>
      </c>
      <c r="J19" s="388">
        <v>50</v>
      </c>
      <c r="K19" s="385">
        <v>50</v>
      </c>
      <c r="L19" s="385">
        <v>50</v>
      </c>
      <c r="M19" s="385">
        <v>50</v>
      </c>
      <c r="N19" s="385">
        <v>50</v>
      </c>
      <c r="O19" s="385">
        <v>50</v>
      </c>
      <c r="P19" s="385">
        <v>50</v>
      </c>
      <c r="Q19" s="385">
        <v>50</v>
      </c>
      <c r="R19" s="385">
        <v>50</v>
      </c>
      <c r="S19" s="385">
        <v>50</v>
      </c>
      <c r="T19" s="385">
        <v>50</v>
      </c>
      <c r="U19" s="385">
        <v>50</v>
      </c>
      <c r="V19" s="385">
        <v>50</v>
      </c>
      <c r="W19" s="388">
        <v>50</v>
      </c>
      <c r="X19" s="388">
        <v>50</v>
      </c>
      <c r="Y19" s="388">
        <v>50</v>
      </c>
      <c r="Z19" s="388">
        <v>50</v>
      </c>
      <c r="AA19" s="388">
        <v>50</v>
      </c>
      <c r="AB19" s="388">
        <v>50</v>
      </c>
      <c r="AC19" s="185"/>
      <c r="AD19" s="185"/>
      <c r="AE19" s="185"/>
      <c r="AF19" s="185"/>
      <c r="AG19" s="185"/>
      <c r="AH19" s="185"/>
      <c r="AI19" s="185"/>
      <c r="AJ19" s="185"/>
      <c r="AL19" s="414"/>
    </row>
    <row r="20" spans="1:38" ht="51" customHeight="1" thickBot="1">
      <c r="A20" s="389" t="s">
        <v>693</v>
      </c>
      <c r="B20" s="391" t="s">
        <v>694</v>
      </c>
      <c r="C20" s="391" t="s">
        <v>52</v>
      </c>
      <c r="D20" s="417" t="s">
        <v>695</v>
      </c>
      <c r="E20" s="411">
        <v>75</v>
      </c>
      <c r="F20" s="411">
        <v>54</v>
      </c>
      <c r="G20" s="411">
        <v>41</v>
      </c>
      <c r="H20" s="411">
        <v>31</v>
      </c>
      <c r="I20" s="411">
        <v>26</v>
      </c>
      <c r="J20" s="411">
        <v>21</v>
      </c>
      <c r="K20" s="383">
        <v>100</v>
      </c>
      <c r="L20" s="383">
        <v>100</v>
      </c>
      <c r="M20" s="383">
        <v>100</v>
      </c>
      <c r="N20" s="383">
        <v>100</v>
      </c>
      <c r="O20" s="383">
        <v>100</v>
      </c>
      <c r="P20" s="383">
        <v>100</v>
      </c>
      <c r="Q20" s="383">
        <v>100</v>
      </c>
      <c r="R20" s="383">
        <v>100</v>
      </c>
      <c r="S20" s="383">
        <v>100</v>
      </c>
      <c r="T20" s="383">
        <v>100</v>
      </c>
      <c r="U20" s="383">
        <v>100</v>
      </c>
      <c r="V20" s="383">
        <v>100</v>
      </c>
      <c r="W20" s="383">
        <v>100</v>
      </c>
      <c r="X20" s="383">
        <v>100</v>
      </c>
      <c r="Y20" s="383">
        <v>100</v>
      </c>
      <c r="Z20" s="383">
        <v>100</v>
      </c>
      <c r="AA20" s="383">
        <v>100</v>
      </c>
      <c r="AB20" s="383">
        <v>100</v>
      </c>
      <c r="AC20" s="185"/>
      <c r="AD20" s="185"/>
      <c r="AE20" s="185"/>
      <c r="AF20" s="185"/>
      <c r="AG20" s="185"/>
      <c r="AH20" s="185"/>
      <c r="AI20" s="185"/>
      <c r="AJ20" s="185"/>
      <c r="AL20" s="414"/>
    </row>
    <row r="21" spans="1:38" ht="39" customHeight="1" thickBot="1">
      <c r="A21" s="298" t="s">
        <v>696</v>
      </c>
      <c r="B21" s="355" t="s">
        <v>697</v>
      </c>
      <c r="C21" s="391" t="s">
        <v>52</v>
      </c>
      <c r="D21" s="417" t="s">
        <v>695</v>
      </c>
      <c r="E21" s="411">
        <v>82</v>
      </c>
      <c r="F21" s="411">
        <v>82</v>
      </c>
      <c r="G21" s="411">
        <v>82</v>
      </c>
      <c r="H21" s="411">
        <v>82</v>
      </c>
      <c r="I21" s="411">
        <v>82</v>
      </c>
      <c r="J21" s="411">
        <v>82</v>
      </c>
      <c r="K21" s="383">
        <v>82</v>
      </c>
      <c r="L21" s="383">
        <v>82</v>
      </c>
      <c r="M21" s="383">
        <v>82</v>
      </c>
      <c r="N21" s="383">
        <v>82</v>
      </c>
      <c r="O21" s="383">
        <v>82</v>
      </c>
      <c r="P21" s="383">
        <v>82</v>
      </c>
      <c r="Q21" s="383">
        <v>82</v>
      </c>
      <c r="R21" s="383">
        <v>82</v>
      </c>
      <c r="S21" s="383">
        <v>82</v>
      </c>
      <c r="T21" s="383">
        <v>82</v>
      </c>
      <c r="U21" s="383">
        <v>82</v>
      </c>
      <c r="V21" s="383">
        <v>82</v>
      </c>
      <c r="W21" s="383">
        <v>82</v>
      </c>
      <c r="X21" s="383">
        <v>82</v>
      </c>
      <c r="Y21" s="383">
        <v>82</v>
      </c>
      <c r="Z21" s="383">
        <v>82</v>
      </c>
      <c r="AA21" s="383">
        <v>82</v>
      </c>
      <c r="AB21" s="383">
        <v>82</v>
      </c>
      <c r="AC21" s="185"/>
      <c r="AD21" s="185"/>
      <c r="AE21" s="185"/>
      <c r="AF21" s="185"/>
      <c r="AG21" s="185"/>
      <c r="AH21" s="185"/>
      <c r="AI21" s="185"/>
      <c r="AJ21" s="185"/>
      <c r="AL21" s="414"/>
    </row>
    <row r="22" spans="1:38" ht="39" customHeight="1" thickBot="1">
      <c r="A22" s="298" t="s">
        <v>698</v>
      </c>
      <c r="B22" s="355" t="s">
        <v>697</v>
      </c>
      <c r="C22" s="391" t="s">
        <v>52</v>
      </c>
      <c r="D22" s="417" t="s">
        <v>695</v>
      </c>
      <c r="E22" s="411">
        <v>65</v>
      </c>
      <c r="F22" s="411">
        <v>65</v>
      </c>
      <c r="G22" s="411">
        <v>65</v>
      </c>
      <c r="H22" s="411">
        <v>65</v>
      </c>
      <c r="I22" s="411">
        <v>65</v>
      </c>
      <c r="J22" s="411">
        <v>65</v>
      </c>
      <c r="K22" s="383">
        <v>65</v>
      </c>
      <c r="L22" s="383">
        <v>65</v>
      </c>
      <c r="M22" s="383">
        <v>65</v>
      </c>
      <c r="N22" s="383">
        <v>65</v>
      </c>
      <c r="O22" s="383">
        <v>65</v>
      </c>
      <c r="P22" s="383">
        <v>65</v>
      </c>
      <c r="Q22" s="383">
        <v>65</v>
      </c>
      <c r="R22" s="383">
        <v>65</v>
      </c>
      <c r="S22" s="383">
        <v>65</v>
      </c>
      <c r="T22" s="383">
        <v>65</v>
      </c>
      <c r="U22" s="383">
        <v>65</v>
      </c>
      <c r="V22" s="383">
        <v>65</v>
      </c>
      <c r="W22" s="383">
        <v>65</v>
      </c>
      <c r="X22" s="383">
        <v>65</v>
      </c>
      <c r="Y22" s="383">
        <v>65</v>
      </c>
      <c r="Z22" s="383">
        <v>65</v>
      </c>
      <c r="AA22" s="383">
        <v>65</v>
      </c>
      <c r="AB22" s="383">
        <v>65</v>
      </c>
      <c r="AC22" s="185"/>
      <c r="AD22" s="185"/>
      <c r="AE22" s="185"/>
      <c r="AF22" s="185"/>
      <c r="AG22" s="185"/>
      <c r="AH22" s="185"/>
      <c r="AI22" s="185"/>
      <c r="AJ22" s="185"/>
      <c r="AL22" s="414"/>
    </row>
    <row r="23" spans="1:38" ht="51" customHeight="1" thickBot="1">
      <c r="A23" s="389" t="s">
        <v>699</v>
      </c>
      <c r="B23" s="391"/>
      <c r="C23" s="391" t="s">
        <v>64</v>
      </c>
      <c r="D23" s="417" t="s">
        <v>695</v>
      </c>
      <c r="E23" s="420">
        <v>100</v>
      </c>
      <c r="F23" s="420">
        <v>100</v>
      </c>
      <c r="G23" s="420">
        <v>100</v>
      </c>
      <c r="H23" s="420">
        <v>100</v>
      </c>
      <c r="I23" s="420">
        <v>100</v>
      </c>
      <c r="J23" s="420">
        <v>100</v>
      </c>
      <c r="K23" s="420">
        <v>100</v>
      </c>
      <c r="L23" s="420">
        <v>100</v>
      </c>
      <c r="M23" s="420">
        <v>100</v>
      </c>
      <c r="N23" s="420">
        <v>100</v>
      </c>
      <c r="O23" s="420">
        <v>100</v>
      </c>
      <c r="P23" s="420">
        <v>100</v>
      </c>
      <c r="Q23" s="420">
        <v>100</v>
      </c>
      <c r="R23" s="420">
        <v>100</v>
      </c>
      <c r="S23" s="420">
        <v>100</v>
      </c>
      <c r="T23" s="420">
        <v>100</v>
      </c>
      <c r="U23" s="420">
        <v>100</v>
      </c>
      <c r="V23" s="420">
        <v>100</v>
      </c>
      <c r="W23" s="420">
        <v>100</v>
      </c>
      <c r="X23" s="420">
        <v>100</v>
      </c>
      <c r="Y23" s="420">
        <v>100</v>
      </c>
      <c r="Z23" s="420">
        <v>100</v>
      </c>
      <c r="AA23" s="420">
        <v>100</v>
      </c>
      <c r="AB23" s="420">
        <v>100</v>
      </c>
      <c r="AC23" s="185"/>
      <c r="AD23" s="185"/>
      <c r="AE23" s="185"/>
      <c r="AF23" s="185"/>
      <c r="AG23" s="185"/>
      <c r="AH23" s="185"/>
      <c r="AI23" s="185"/>
      <c r="AJ23" s="185"/>
      <c r="AL23" s="414"/>
    </row>
    <row r="24" spans="1:38" ht="39" customHeight="1" thickBot="1">
      <c r="A24" s="298" t="s">
        <v>700</v>
      </c>
      <c r="B24" s="355"/>
      <c r="C24" s="391" t="s">
        <v>64</v>
      </c>
      <c r="D24" s="417" t="s">
        <v>695</v>
      </c>
      <c r="E24" s="420">
        <v>60</v>
      </c>
      <c r="F24" s="420">
        <v>60</v>
      </c>
      <c r="G24" s="420">
        <v>60</v>
      </c>
      <c r="H24" s="420">
        <v>60</v>
      </c>
      <c r="I24" s="420">
        <v>60</v>
      </c>
      <c r="J24" s="420">
        <v>60</v>
      </c>
      <c r="K24" s="420">
        <v>60</v>
      </c>
      <c r="L24" s="420">
        <v>60</v>
      </c>
      <c r="M24" s="420">
        <v>60</v>
      </c>
      <c r="N24" s="420">
        <v>60</v>
      </c>
      <c r="O24" s="420">
        <v>60</v>
      </c>
      <c r="P24" s="420">
        <v>60</v>
      </c>
      <c r="Q24" s="420">
        <v>60</v>
      </c>
      <c r="R24" s="420">
        <v>60</v>
      </c>
      <c r="S24" s="420">
        <v>60</v>
      </c>
      <c r="T24" s="420">
        <v>60</v>
      </c>
      <c r="U24" s="420">
        <v>60</v>
      </c>
      <c r="V24" s="420">
        <v>60</v>
      </c>
      <c r="W24" s="420">
        <v>60</v>
      </c>
      <c r="X24" s="420">
        <v>60</v>
      </c>
      <c r="Y24" s="420">
        <v>60</v>
      </c>
      <c r="Z24" s="420">
        <v>60</v>
      </c>
      <c r="AA24" s="420">
        <v>60</v>
      </c>
      <c r="AB24" s="420">
        <v>60</v>
      </c>
      <c r="AC24" s="185"/>
      <c r="AD24" s="185"/>
      <c r="AE24" s="185"/>
      <c r="AF24" s="185"/>
      <c r="AG24" s="185"/>
      <c r="AH24" s="185"/>
      <c r="AI24" s="185"/>
      <c r="AJ24" s="185"/>
      <c r="AL24" s="414"/>
    </row>
    <row r="25" spans="1:38" ht="59.1" customHeight="1">
      <c r="A25" s="298" t="s">
        <v>701</v>
      </c>
      <c r="B25" s="355"/>
      <c r="C25" s="355" t="s">
        <v>64</v>
      </c>
      <c r="D25" s="417" t="s">
        <v>695</v>
      </c>
      <c r="E25" s="420">
        <v>60</v>
      </c>
      <c r="F25" s="420">
        <v>60</v>
      </c>
      <c r="G25" s="420">
        <v>60</v>
      </c>
      <c r="H25" s="420">
        <v>60</v>
      </c>
      <c r="I25" s="420">
        <v>60</v>
      </c>
      <c r="J25" s="420">
        <v>60</v>
      </c>
      <c r="K25" s="420">
        <v>60</v>
      </c>
      <c r="L25" s="420">
        <v>60</v>
      </c>
      <c r="M25" s="420">
        <v>60</v>
      </c>
      <c r="N25" s="420">
        <v>60</v>
      </c>
      <c r="O25" s="420">
        <v>60</v>
      </c>
      <c r="P25" s="420">
        <v>60</v>
      </c>
      <c r="Q25" s="420">
        <v>60</v>
      </c>
      <c r="R25" s="420">
        <v>60</v>
      </c>
      <c r="S25" s="420">
        <v>60</v>
      </c>
      <c r="T25" s="420">
        <v>60</v>
      </c>
      <c r="U25" s="420">
        <v>60</v>
      </c>
      <c r="V25" s="420">
        <v>60</v>
      </c>
      <c r="W25" s="420">
        <v>60</v>
      </c>
      <c r="X25" s="420">
        <v>60</v>
      </c>
      <c r="Y25" s="420">
        <v>60</v>
      </c>
      <c r="Z25" s="420">
        <v>60</v>
      </c>
      <c r="AA25" s="420">
        <v>60</v>
      </c>
      <c r="AB25" s="420">
        <v>60</v>
      </c>
      <c r="AC25" s="185"/>
      <c r="AD25" s="185"/>
      <c r="AE25" s="185"/>
      <c r="AF25" s="185"/>
      <c r="AG25" s="185"/>
      <c r="AH25" s="185"/>
      <c r="AI25" s="185"/>
      <c r="AJ25" s="185"/>
      <c r="AL25" s="414"/>
    </row>
    <row r="28" spans="1:38" ht="12.95" thickBot="1"/>
    <row r="29" spans="1:38" ht="51.95">
      <c r="A29" s="298"/>
      <c r="B29" s="355" t="s">
        <v>702</v>
      </c>
      <c r="C29" s="355" t="s">
        <v>703</v>
      </c>
      <c r="D29" s="406" t="s">
        <v>51</v>
      </c>
    </row>
    <row r="30" spans="1:38" ht="104.1">
      <c r="A30" s="404" t="s">
        <v>704</v>
      </c>
      <c r="B30" s="402">
        <v>80</v>
      </c>
      <c r="C30" s="402">
        <v>80</v>
      </c>
      <c r="D30" s="407" t="s">
        <v>705</v>
      </c>
    </row>
    <row r="31" spans="1:38" ht="78.95" thickBot="1">
      <c r="A31" s="405" t="s">
        <v>706</v>
      </c>
      <c r="B31" s="403">
        <v>105</v>
      </c>
      <c r="C31" s="403">
        <v>105</v>
      </c>
      <c r="D31" s="408" t="s">
        <v>707</v>
      </c>
    </row>
    <row r="32" spans="1:38" ht="27" thickBot="1">
      <c r="A32" s="405" t="s">
        <v>708</v>
      </c>
      <c r="B32" s="403">
        <v>18.399999999999999</v>
      </c>
      <c r="C32" s="403">
        <v>18.399999999999999</v>
      </c>
      <c r="D32" s="408" t="s">
        <v>709</v>
      </c>
    </row>
    <row r="9951" spans="5:5">
      <c r="E9951" s="183" t="s">
        <v>686</v>
      </c>
    </row>
  </sheetData>
  <dataConsolidate/>
  <mergeCells count="15">
    <mergeCell ref="A4:AB4"/>
    <mergeCell ref="A5:A6"/>
    <mergeCell ref="B5:B6"/>
    <mergeCell ref="C5:C6"/>
    <mergeCell ref="D5:D6"/>
    <mergeCell ref="E5:AB5"/>
    <mergeCell ref="A16:A19"/>
    <mergeCell ref="B16:B19"/>
    <mergeCell ref="C16:C19"/>
    <mergeCell ref="A7:A11"/>
    <mergeCell ref="B7:B11"/>
    <mergeCell ref="C7:C11"/>
    <mergeCell ref="A12:A15"/>
    <mergeCell ref="B12:B15"/>
    <mergeCell ref="C12:C15"/>
  </mergeCells>
  <pageMargins left="0.7" right="0.7" top="0.75" bottom="0.75" header="0.3" footer="0.3"/>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9D48C-EFB6-440B-BE4F-FD4465FADBA0}">
  <sheetPr codeName="Sheet20">
    <tabColor rgb="FF00B050"/>
  </sheetPr>
  <dimension ref="A1:P21"/>
  <sheetViews>
    <sheetView zoomScale="130" zoomScaleNormal="130" workbookViewId="0"/>
  </sheetViews>
  <sheetFormatPr defaultColWidth="8.42578125" defaultRowHeight="12.95"/>
  <cols>
    <col min="1" max="1" width="20.140625" style="153" customWidth="1"/>
    <col min="2" max="2" width="26.140625" style="153" customWidth="1"/>
    <col min="3" max="3" width="23.85546875" style="153" customWidth="1"/>
    <col min="4" max="4" width="25.42578125" style="153" customWidth="1"/>
    <col min="5" max="5" width="24.42578125" style="153" customWidth="1"/>
    <col min="6" max="7" width="13.42578125" style="153" customWidth="1"/>
    <col min="8" max="8" width="13.85546875" style="153" customWidth="1"/>
    <col min="9" max="9" width="10.42578125" style="153" customWidth="1"/>
    <col min="10" max="10" width="32.42578125" style="153" customWidth="1"/>
    <col min="11" max="11" width="35.42578125" style="153" customWidth="1"/>
    <col min="12" max="12" width="13.42578125" style="153" customWidth="1"/>
    <col min="13" max="15" width="8.42578125" style="153"/>
    <col min="16" max="16" width="12.42578125" style="153" customWidth="1"/>
    <col min="17" max="16384" width="8.42578125" style="153"/>
  </cols>
  <sheetData>
    <row r="1" spans="1:16" s="3" customFormat="1" ht="15">
      <c r="A1" s="464" t="s">
        <v>2</v>
      </c>
      <c r="B1" s="607"/>
      <c r="C1" s="608"/>
      <c r="D1" s="608"/>
      <c r="E1" s="608"/>
      <c r="F1" s="608"/>
      <c r="G1" s="608"/>
      <c r="H1" s="463"/>
      <c r="I1" s="463"/>
      <c r="J1" s="463"/>
      <c r="K1" s="463"/>
      <c r="L1" s="463"/>
      <c r="M1" s="463"/>
      <c r="N1" s="463"/>
      <c r="O1" s="463"/>
      <c r="P1" s="463"/>
    </row>
    <row r="3" spans="1:16" ht="27" customHeight="1">
      <c r="A3" s="486" t="str">
        <f>"Energy Consumption - "&amp;Prototype!A3</f>
        <v>Energy Consumption - Controlled Environment Horticulture</v>
      </c>
      <c r="B3" s="486"/>
      <c r="C3" s="486"/>
      <c r="D3" s="486"/>
      <c r="E3" s="486"/>
    </row>
    <row r="4" spans="1:16" ht="39.75" customHeight="1">
      <c r="A4" s="182" t="s">
        <v>81</v>
      </c>
      <c r="B4" s="187" t="s">
        <v>710</v>
      </c>
      <c r="C4" s="187" t="s">
        <v>711</v>
      </c>
      <c r="D4" s="187" t="s">
        <v>712</v>
      </c>
      <c r="E4" s="187" t="s">
        <v>713</v>
      </c>
    </row>
    <row r="5" spans="1:16" ht="19.5" customHeight="1">
      <c r="A5" s="578"/>
      <c r="B5" s="181">
        <v>1</v>
      </c>
      <c r="C5" s="256">
        <v>36168.629759999996</v>
      </c>
      <c r="D5" s="581">
        <v>252</v>
      </c>
      <c r="E5" s="257">
        <v>0</v>
      </c>
    </row>
    <row r="6" spans="1:16" ht="19.5" customHeight="1">
      <c r="A6" s="579"/>
      <c r="B6" s="181">
        <v>2</v>
      </c>
      <c r="C6" s="256">
        <v>27133.58208</v>
      </c>
      <c r="D6" s="582"/>
      <c r="E6" s="257">
        <v>0</v>
      </c>
    </row>
    <row r="7" spans="1:16" ht="19.5" customHeight="1">
      <c r="A7" s="579"/>
      <c r="B7" s="181">
        <v>3</v>
      </c>
      <c r="C7" s="256">
        <v>129904</v>
      </c>
      <c r="D7" s="582"/>
      <c r="E7" s="257">
        <v>0</v>
      </c>
    </row>
    <row r="8" spans="1:16" ht="19.5" customHeight="1">
      <c r="A8" s="579"/>
      <c r="B8" s="181">
        <v>4</v>
      </c>
      <c r="C8" s="256">
        <v>34408.883200000004</v>
      </c>
      <c r="D8" s="582"/>
      <c r="E8" s="257">
        <v>0</v>
      </c>
    </row>
    <row r="9" spans="1:16" ht="19.5" customHeight="1">
      <c r="A9" s="579"/>
      <c r="B9" s="181">
        <v>5</v>
      </c>
      <c r="C9" s="256">
        <v>196250.27840000001</v>
      </c>
      <c r="D9" s="582"/>
      <c r="E9" s="257">
        <v>0</v>
      </c>
    </row>
    <row r="10" spans="1:16" ht="19.5" customHeight="1">
      <c r="A10" s="579"/>
      <c r="B10" s="181">
        <v>6</v>
      </c>
      <c r="C10" s="256">
        <v>255059.91680000001</v>
      </c>
      <c r="D10" s="582"/>
      <c r="E10" s="257">
        <v>0</v>
      </c>
    </row>
    <row r="11" spans="1:16" ht="19.5" customHeight="1">
      <c r="A11" s="579"/>
      <c r="B11" s="181">
        <v>7</v>
      </c>
      <c r="C11" s="256">
        <v>26496.235520000006</v>
      </c>
      <c r="D11" s="582"/>
      <c r="E11" s="257">
        <v>0</v>
      </c>
    </row>
    <row r="12" spans="1:16" ht="19.5" customHeight="1">
      <c r="A12" s="579"/>
      <c r="B12" s="181">
        <v>8</v>
      </c>
      <c r="C12" s="256">
        <v>22940.20736</v>
      </c>
      <c r="D12" s="582"/>
      <c r="E12" s="257">
        <v>0</v>
      </c>
    </row>
    <row r="13" spans="1:16" ht="19.5" customHeight="1">
      <c r="A13" s="579"/>
      <c r="B13" s="181">
        <v>9</v>
      </c>
      <c r="C13" s="256">
        <v>44442.329599999997</v>
      </c>
      <c r="D13" s="582"/>
      <c r="E13" s="257">
        <v>0</v>
      </c>
    </row>
    <row r="14" spans="1:16" ht="19.5" customHeight="1">
      <c r="A14" s="579"/>
      <c r="B14" s="181">
        <v>10</v>
      </c>
      <c r="C14" s="256">
        <v>145476.87680000003</v>
      </c>
      <c r="D14" s="582"/>
      <c r="E14" s="257">
        <v>0</v>
      </c>
    </row>
    <row r="15" spans="1:16" ht="19.5" customHeight="1">
      <c r="A15" s="579"/>
      <c r="B15" s="181">
        <v>11</v>
      </c>
      <c r="C15" s="256">
        <v>123786.0736</v>
      </c>
      <c r="D15" s="582"/>
      <c r="E15" s="257">
        <v>0</v>
      </c>
    </row>
    <row r="16" spans="1:16" ht="19.5" customHeight="1">
      <c r="A16" s="579"/>
      <c r="B16" s="181">
        <v>12</v>
      </c>
      <c r="C16" s="256">
        <v>173680.98560000001</v>
      </c>
      <c r="D16" s="582"/>
      <c r="E16" s="257">
        <v>0</v>
      </c>
    </row>
    <row r="17" spans="1:5" ht="19.5" customHeight="1">
      <c r="A17" s="579"/>
      <c r="B17" s="181">
        <v>13</v>
      </c>
      <c r="C17" s="256">
        <v>149542.54080000002</v>
      </c>
      <c r="D17" s="582"/>
      <c r="E17" s="257">
        <v>0</v>
      </c>
    </row>
    <row r="18" spans="1:5" ht="19.5" customHeight="1">
      <c r="A18" s="579"/>
      <c r="B18" s="181">
        <v>14</v>
      </c>
      <c r="C18" s="256">
        <v>13661.72032</v>
      </c>
      <c r="D18" s="582"/>
      <c r="E18" s="257">
        <v>0</v>
      </c>
    </row>
    <row r="19" spans="1:5" ht="19.5" customHeight="1">
      <c r="A19" s="579"/>
      <c r="B19" s="181">
        <v>15</v>
      </c>
      <c r="C19" s="256">
        <v>25627.19616</v>
      </c>
      <c r="D19" s="582"/>
      <c r="E19" s="257">
        <v>0</v>
      </c>
    </row>
    <row r="20" spans="1:5" ht="19.5" customHeight="1">
      <c r="A20" s="580"/>
      <c r="B20" s="181">
        <v>16</v>
      </c>
      <c r="C20" s="256">
        <v>6700.5734399999992</v>
      </c>
      <c r="D20" s="583"/>
      <c r="E20" s="257">
        <v>0</v>
      </c>
    </row>
    <row r="21" spans="1:5">
      <c r="C21" s="203"/>
    </row>
  </sheetData>
  <mergeCells count="3">
    <mergeCell ref="A5:A20"/>
    <mergeCell ref="A3:E3"/>
    <mergeCell ref="D5:D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A2FF8-E67F-4AF9-A6F9-E2B7AE862021}">
  <sheetPr codeName="Sheet1">
    <tabColor rgb="FF00B050"/>
  </sheetPr>
  <dimension ref="A1:R56"/>
  <sheetViews>
    <sheetView zoomScale="130" zoomScaleNormal="130" workbookViewId="0">
      <selection activeCell="E12" sqref="E12"/>
    </sheetView>
  </sheetViews>
  <sheetFormatPr defaultColWidth="9.42578125" defaultRowHeight="14.1"/>
  <cols>
    <col min="1" max="1" width="25" style="151" customWidth="1"/>
    <col min="2" max="2" width="27.42578125" style="212" customWidth="1"/>
    <col min="3" max="3" width="74.42578125" style="151" customWidth="1"/>
    <col min="4" max="4" width="51.42578125" style="151" customWidth="1"/>
    <col min="5" max="5" width="29" style="151" customWidth="1"/>
    <col min="6" max="6" width="45.85546875" style="151" customWidth="1"/>
    <col min="7" max="7" width="44.85546875" style="151" customWidth="1"/>
    <col min="8" max="8" width="48.140625" style="151" customWidth="1"/>
    <col min="9" max="9" width="8.42578125" style="151" customWidth="1"/>
    <col min="10" max="16384" width="9.42578125" style="151"/>
  </cols>
  <sheetData>
    <row r="1" spans="1:9" s="468" customFormat="1" ht="25.35" customHeight="1">
      <c r="A1" s="467" t="s">
        <v>2</v>
      </c>
      <c r="B1" s="605"/>
      <c r="C1" s="606"/>
      <c r="D1" s="606"/>
      <c r="E1" s="606"/>
      <c r="F1" s="606"/>
      <c r="G1" s="606"/>
    </row>
    <row r="3" spans="1:9" ht="25.5" customHeight="1">
      <c r="A3" s="483" t="s">
        <v>3</v>
      </c>
      <c r="B3" s="484"/>
      <c r="C3" s="484"/>
      <c r="D3" s="159"/>
      <c r="E3" s="159"/>
      <c r="F3" s="159"/>
    </row>
    <row r="4" spans="1:9" ht="20.45" customHeight="1">
      <c r="A4" s="165" t="s">
        <v>4</v>
      </c>
      <c r="B4" s="228" t="s">
        <v>5</v>
      </c>
      <c r="C4" s="166" t="s">
        <v>6</v>
      </c>
    </row>
    <row r="5" spans="1:9" ht="27.95">
      <c r="A5" s="162" t="s">
        <v>7</v>
      </c>
      <c r="B5" s="163" t="s">
        <v>8</v>
      </c>
      <c r="C5" s="162" t="s">
        <v>9</v>
      </c>
    </row>
    <row r="6" spans="1:9">
      <c r="A6" s="162" t="s">
        <v>10</v>
      </c>
      <c r="B6" s="163" t="s">
        <v>11</v>
      </c>
      <c r="C6" s="162"/>
    </row>
    <row r="7" spans="1:9" ht="27.95">
      <c r="A7" s="162" t="s">
        <v>12</v>
      </c>
      <c r="B7" s="163" t="s">
        <v>13</v>
      </c>
      <c r="C7" s="164" t="s">
        <v>14</v>
      </c>
      <c r="D7" s="197"/>
    </row>
    <row r="8" spans="1:9">
      <c r="A8" s="162" t="s">
        <v>15</v>
      </c>
      <c r="B8" s="163" t="s">
        <v>16</v>
      </c>
      <c r="C8" s="164" t="s">
        <v>17</v>
      </c>
      <c r="D8" s="202"/>
      <c r="I8" s="152"/>
    </row>
    <row r="9" spans="1:9">
      <c r="A9" s="160" t="s">
        <v>18</v>
      </c>
      <c r="B9" s="251" t="s">
        <v>19</v>
      </c>
      <c r="C9" s="249" t="s">
        <v>20</v>
      </c>
    </row>
    <row r="10" spans="1:9">
      <c r="A10" s="160" t="s">
        <v>21</v>
      </c>
      <c r="B10" s="252">
        <v>2.3142999999999998</v>
      </c>
      <c r="C10" s="249" t="s">
        <v>20</v>
      </c>
    </row>
    <row r="11" spans="1:9" ht="42">
      <c r="A11" s="161" t="s">
        <v>22</v>
      </c>
      <c r="B11" s="163">
        <v>1</v>
      </c>
      <c r="C11" s="249" t="s">
        <v>23</v>
      </c>
    </row>
    <row r="12" spans="1:9" ht="42">
      <c r="A12" s="161" t="s">
        <v>24</v>
      </c>
      <c r="B12" s="436" t="s">
        <v>25</v>
      </c>
      <c r="C12" s="249" t="s">
        <v>26</v>
      </c>
    </row>
    <row r="13" spans="1:9" ht="27.95">
      <c r="A13" s="437" t="s">
        <v>27</v>
      </c>
      <c r="B13" s="277">
        <v>0</v>
      </c>
      <c r="C13" s="249" t="s">
        <v>28</v>
      </c>
    </row>
    <row r="14" spans="1:9">
      <c r="A14" s="160" t="s">
        <v>29</v>
      </c>
      <c r="B14" s="278" t="s">
        <v>30</v>
      </c>
      <c r="C14" s="250" t="s">
        <v>31</v>
      </c>
    </row>
    <row r="15" spans="1:9" ht="27.95">
      <c r="A15" s="160" t="s">
        <v>32</v>
      </c>
      <c r="B15" s="248">
        <v>18</v>
      </c>
      <c r="C15" s="249" t="s">
        <v>33</v>
      </c>
      <c r="D15" s="245"/>
    </row>
    <row r="16" spans="1:9" ht="27.95">
      <c r="A16" s="160" t="s">
        <v>34</v>
      </c>
      <c r="B16" s="248">
        <v>14</v>
      </c>
      <c r="C16" s="249" t="s">
        <v>33</v>
      </c>
    </row>
    <row r="17" spans="1:18" ht="69.95">
      <c r="A17" s="160" t="s">
        <v>35</v>
      </c>
      <c r="B17" s="277" t="s">
        <v>36</v>
      </c>
      <c r="C17" s="249" t="s">
        <v>37</v>
      </c>
    </row>
    <row r="20" spans="1:18" ht="15" customHeight="1"/>
    <row r="21" spans="1:18" ht="15" customHeight="1"/>
    <row r="22" spans="1:18" ht="15" customHeight="1"/>
    <row r="23" spans="1:18" ht="15" customHeight="1"/>
    <row r="24" spans="1:18" ht="15" customHeight="1"/>
    <row r="25" spans="1:18" ht="15" customHeight="1"/>
    <row r="26" spans="1:18" ht="15" customHeight="1"/>
    <row r="28" spans="1:18" ht="15">
      <c r="A28"/>
      <c r="B28" s="2"/>
      <c r="C28"/>
      <c r="D28"/>
      <c r="E28"/>
      <c r="F28"/>
      <c r="G28"/>
      <c r="H28"/>
      <c r="J28"/>
      <c r="K28"/>
      <c r="L28"/>
      <c r="M28"/>
      <c r="N28"/>
      <c r="O28"/>
      <c r="P28"/>
    </row>
    <row r="29" spans="1:18" ht="15">
      <c r="A29"/>
      <c r="B29" s="2"/>
      <c r="C29"/>
      <c r="D29"/>
      <c r="E29"/>
      <c r="F29"/>
      <c r="G29"/>
      <c r="H29"/>
      <c r="I29"/>
      <c r="J29"/>
      <c r="L29"/>
      <c r="M29"/>
      <c r="N29"/>
      <c r="O29"/>
      <c r="P29"/>
      <c r="Q29"/>
      <c r="R29"/>
    </row>
    <row r="30" spans="1:18" ht="15">
      <c r="A30"/>
      <c r="B30" s="2"/>
      <c r="C30"/>
      <c r="D30"/>
      <c r="E30"/>
      <c r="F30"/>
      <c r="G30"/>
      <c r="H30"/>
      <c r="I30"/>
      <c r="J30"/>
      <c r="K30"/>
      <c r="L30"/>
      <c r="M30"/>
      <c r="N30"/>
      <c r="O30"/>
      <c r="P30"/>
      <c r="Q30"/>
      <c r="R30"/>
    </row>
    <row r="31" spans="1:18" ht="15">
      <c r="A31"/>
      <c r="B31" s="2"/>
      <c r="C31"/>
      <c r="D31"/>
      <c r="E31"/>
      <c r="F31"/>
      <c r="G31"/>
      <c r="H31"/>
      <c r="I31"/>
      <c r="J31"/>
      <c r="K31"/>
      <c r="L31"/>
      <c r="M31"/>
      <c r="N31"/>
      <c r="O31"/>
      <c r="P31"/>
      <c r="Q31"/>
      <c r="R31"/>
    </row>
    <row r="32" spans="1:18" ht="15">
      <c r="A32"/>
      <c r="B32" s="2"/>
      <c r="C32"/>
      <c r="D32"/>
      <c r="E32"/>
      <c r="F32"/>
      <c r="G32"/>
      <c r="H32"/>
      <c r="I32"/>
      <c r="J32"/>
      <c r="K32"/>
      <c r="L32"/>
      <c r="M32"/>
      <c r="N32"/>
      <c r="O32"/>
      <c r="P32"/>
      <c r="Q32"/>
      <c r="R32"/>
    </row>
    <row r="33" spans="1:18" ht="15">
      <c r="A33"/>
      <c r="B33" s="2"/>
      <c r="C33"/>
      <c r="D33"/>
      <c r="E33"/>
      <c r="F33"/>
      <c r="G33"/>
      <c r="H33"/>
      <c r="I33"/>
      <c r="J33"/>
      <c r="K33"/>
      <c r="L33"/>
      <c r="M33"/>
      <c r="N33"/>
      <c r="O33"/>
      <c r="P33"/>
      <c r="Q33"/>
      <c r="R33"/>
    </row>
    <row r="34" spans="1:18" ht="15">
      <c r="A34"/>
      <c r="B34" s="2"/>
      <c r="C34"/>
      <c r="D34"/>
      <c r="E34"/>
      <c r="F34"/>
      <c r="G34"/>
      <c r="H34"/>
      <c r="I34"/>
      <c r="J34"/>
      <c r="K34"/>
      <c r="L34"/>
      <c r="M34"/>
      <c r="N34"/>
      <c r="O34"/>
      <c r="P34"/>
      <c r="Q34"/>
      <c r="R34"/>
    </row>
    <row r="35" spans="1:18" ht="15">
      <c r="A35"/>
      <c r="B35" s="2"/>
      <c r="C35"/>
      <c r="D35"/>
      <c r="E35"/>
      <c r="F35"/>
      <c r="G35"/>
      <c r="H35"/>
      <c r="I35"/>
      <c r="J35"/>
      <c r="K35"/>
      <c r="L35"/>
      <c r="M35"/>
      <c r="N35"/>
      <c r="O35"/>
      <c r="P35"/>
      <c r="Q35"/>
      <c r="R35"/>
    </row>
    <row r="36" spans="1:18" ht="15">
      <c r="A36"/>
      <c r="B36" s="2"/>
      <c r="C36"/>
      <c r="D36"/>
      <c r="E36"/>
      <c r="F36"/>
      <c r="G36"/>
      <c r="H36"/>
      <c r="I36"/>
      <c r="J36"/>
      <c r="K36"/>
      <c r="L36"/>
      <c r="M36"/>
      <c r="N36"/>
      <c r="O36"/>
      <c r="P36"/>
      <c r="Q36"/>
      <c r="R36"/>
    </row>
    <row r="37" spans="1:18" ht="15">
      <c r="A37"/>
      <c r="B37" s="2"/>
      <c r="C37"/>
      <c r="D37"/>
      <c r="E37"/>
      <c r="F37"/>
      <c r="G37"/>
      <c r="H37"/>
      <c r="I37"/>
      <c r="J37"/>
      <c r="K37"/>
      <c r="L37"/>
      <c r="M37"/>
      <c r="N37"/>
      <c r="O37"/>
      <c r="P37"/>
      <c r="Q37"/>
      <c r="R37"/>
    </row>
    <row r="38" spans="1:18" ht="15">
      <c r="A38"/>
      <c r="B38" s="2"/>
      <c r="C38"/>
      <c r="D38"/>
      <c r="E38"/>
      <c r="F38"/>
      <c r="G38"/>
      <c r="H38"/>
      <c r="I38"/>
      <c r="J38"/>
      <c r="K38"/>
      <c r="L38"/>
      <c r="M38"/>
      <c r="N38"/>
      <c r="O38"/>
      <c r="P38"/>
      <c r="Q38"/>
      <c r="R38"/>
    </row>
    <row r="39" spans="1:18" ht="15">
      <c r="A39"/>
      <c r="B39" s="2"/>
      <c r="C39"/>
      <c r="D39"/>
      <c r="E39"/>
      <c r="F39"/>
      <c r="G39"/>
      <c r="H39"/>
      <c r="I39"/>
      <c r="J39"/>
      <c r="K39"/>
      <c r="L39"/>
      <c r="M39"/>
      <c r="N39"/>
      <c r="O39"/>
      <c r="P39"/>
      <c r="Q39"/>
      <c r="R39"/>
    </row>
    <row r="40" spans="1:18" ht="15">
      <c r="A40"/>
      <c r="B40" s="2"/>
      <c r="C40"/>
      <c r="D40"/>
      <c r="E40"/>
      <c r="F40"/>
      <c r="G40"/>
      <c r="H40"/>
      <c r="I40"/>
      <c r="J40"/>
      <c r="K40"/>
      <c r="L40"/>
      <c r="M40"/>
      <c r="N40"/>
      <c r="O40"/>
      <c r="P40"/>
      <c r="Q40"/>
      <c r="R40"/>
    </row>
    <row r="41" spans="1:18" ht="15">
      <c r="A41"/>
      <c r="B41" s="2"/>
      <c r="C41"/>
      <c r="D41"/>
      <c r="E41"/>
      <c r="F41"/>
      <c r="G41"/>
      <c r="H41"/>
      <c r="I41"/>
      <c r="J41"/>
      <c r="K41"/>
      <c r="L41"/>
      <c r="M41"/>
      <c r="N41"/>
      <c r="O41"/>
      <c r="P41"/>
      <c r="Q41"/>
      <c r="R41"/>
    </row>
    <row r="42" spans="1:18" ht="15">
      <c r="A42"/>
      <c r="B42" s="2"/>
      <c r="C42"/>
      <c r="D42"/>
      <c r="E42"/>
      <c r="F42"/>
      <c r="G42"/>
      <c r="H42"/>
      <c r="I42"/>
      <c r="J42"/>
      <c r="K42"/>
      <c r="L42"/>
      <c r="M42"/>
      <c r="N42"/>
      <c r="O42"/>
      <c r="P42"/>
      <c r="Q42"/>
      <c r="R42"/>
    </row>
    <row r="43" spans="1:18" ht="15">
      <c r="A43"/>
      <c r="B43" s="2"/>
      <c r="C43"/>
      <c r="D43"/>
      <c r="E43"/>
      <c r="F43"/>
      <c r="G43"/>
      <c r="H43"/>
      <c r="I43"/>
      <c r="J43"/>
      <c r="K43"/>
      <c r="L43"/>
      <c r="M43"/>
      <c r="N43"/>
      <c r="O43"/>
      <c r="P43"/>
      <c r="Q43"/>
      <c r="R43"/>
    </row>
    <row r="44" spans="1:18" ht="15">
      <c r="A44"/>
      <c r="B44" s="2"/>
      <c r="C44"/>
      <c r="D44"/>
      <c r="E44"/>
      <c r="F44"/>
      <c r="G44"/>
      <c r="H44"/>
      <c r="I44"/>
      <c r="J44"/>
      <c r="K44"/>
      <c r="L44"/>
      <c r="M44"/>
      <c r="N44"/>
      <c r="O44"/>
      <c r="P44"/>
      <c r="Q44"/>
      <c r="R44"/>
    </row>
    <row r="45" spans="1:18" ht="15">
      <c r="A45"/>
      <c r="B45" s="2"/>
      <c r="C45"/>
      <c r="D45"/>
      <c r="E45"/>
      <c r="F45"/>
      <c r="G45"/>
      <c r="H45"/>
      <c r="I45"/>
      <c r="J45"/>
      <c r="K45"/>
      <c r="L45"/>
      <c r="M45"/>
      <c r="N45"/>
      <c r="O45"/>
      <c r="P45"/>
      <c r="Q45"/>
      <c r="R45"/>
    </row>
    <row r="46" spans="1:18" ht="15">
      <c r="A46"/>
      <c r="B46" s="2"/>
      <c r="C46"/>
      <c r="D46"/>
      <c r="E46"/>
      <c r="F46"/>
      <c r="G46"/>
      <c r="H46"/>
      <c r="I46"/>
      <c r="J46"/>
      <c r="K46"/>
      <c r="L46"/>
      <c r="M46"/>
      <c r="N46"/>
      <c r="O46"/>
      <c r="P46"/>
      <c r="Q46"/>
      <c r="R46"/>
    </row>
    <row r="47" spans="1:18" ht="15">
      <c r="A47"/>
      <c r="B47" s="2"/>
      <c r="C47"/>
      <c r="D47"/>
      <c r="E47"/>
      <c r="F47"/>
      <c r="G47"/>
      <c r="H47"/>
      <c r="I47"/>
      <c r="J47"/>
      <c r="K47"/>
      <c r="L47"/>
      <c r="M47"/>
      <c r="N47"/>
      <c r="O47"/>
      <c r="P47"/>
      <c r="Q47"/>
      <c r="R47"/>
    </row>
    <row r="48" spans="1:18" ht="15">
      <c r="A48"/>
      <c r="B48" s="2"/>
      <c r="C48"/>
      <c r="D48"/>
      <c r="E48"/>
      <c r="F48"/>
      <c r="G48"/>
      <c r="H48"/>
      <c r="I48"/>
      <c r="J48"/>
      <c r="K48"/>
      <c r="L48"/>
      <c r="M48"/>
      <c r="N48"/>
      <c r="O48"/>
      <c r="P48"/>
      <c r="Q48"/>
      <c r="R48"/>
    </row>
    <row r="49" spans="1:18" ht="15">
      <c r="A49"/>
      <c r="B49" s="2"/>
      <c r="C49"/>
      <c r="D49"/>
      <c r="E49"/>
      <c r="F49"/>
      <c r="G49"/>
      <c r="H49"/>
      <c r="I49"/>
      <c r="J49"/>
      <c r="K49"/>
      <c r="L49"/>
      <c r="M49"/>
      <c r="N49"/>
      <c r="O49"/>
      <c r="P49"/>
      <c r="Q49"/>
      <c r="R49"/>
    </row>
    <row r="50" spans="1:18" ht="15">
      <c r="A50"/>
      <c r="B50" s="2"/>
      <c r="C50"/>
      <c r="D50"/>
      <c r="E50"/>
      <c r="F50"/>
      <c r="G50"/>
      <c r="H50"/>
      <c r="I50"/>
      <c r="J50"/>
      <c r="K50"/>
      <c r="L50"/>
      <c r="M50"/>
      <c r="N50"/>
      <c r="O50"/>
      <c r="P50"/>
      <c r="Q50"/>
      <c r="R50"/>
    </row>
    <row r="51" spans="1:18" ht="15">
      <c r="A51"/>
      <c r="B51" s="2"/>
      <c r="C51"/>
      <c r="D51"/>
      <c r="E51"/>
      <c r="F51"/>
      <c r="G51"/>
      <c r="H51"/>
      <c r="I51"/>
      <c r="J51"/>
      <c r="K51"/>
      <c r="L51"/>
      <c r="M51"/>
      <c r="N51"/>
      <c r="O51"/>
      <c r="P51"/>
      <c r="Q51"/>
      <c r="R51"/>
    </row>
    <row r="52" spans="1:18" ht="15">
      <c r="A52"/>
      <c r="B52" s="2"/>
      <c r="C52"/>
      <c r="D52"/>
      <c r="E52"/>
      <c r="F52"/>
      <c r="G52"/>
      <c r="H52"/>
      <c r="I52"/>
      <c r="J52"/>
      <c r="K52"/>
      <c r="L52"/>
      <c r="M52"/>
      <c r="N52"/>
      <c r="O52"/>
      <c r="P52"/>
      <c r="Q52"/>
      <c r="R52"/>
    </row>
    <row r="53" spans="1:18" ht="15">
      <c r="A53"/>
      <c r="B53" s="2"/>
      <c r="C53"/>
      <c r="D53"/>
      <c r="E53"/>
      <c r="F53"/>
      <c r="G53"/>
      <c r="H53"/>
      <c r="I53"/>
      <c r="J53"/>
      <c r="K53"/>
      <c r="L53"/>
      <c r="M53"/>
      <c r="N53"/>
      <c r="O53"/>
      <c r="P53"/>
      <c r="Q53"/>
      <c r="R53"/>
    </row>
    <row r="54" spans="1:18" ht="15">
      <c r="A54"/>
      <c r="B54" s="2"/>
      <c r="C54"/>
      <c r="D54"/>
      <c r="E54"/>
      <c r="F54"/>
      <c r="G54"/>
      <c r="H54"/>
      <c r="I54"/>
      <c r="J54"/>
      <c r="K54"/>
      <c r="L54"/>
      <c r="M54"/>
      <c r="N54"/>
      <c r="O54"/>
      <c r="P54"/>
      <c r="Q54"/>
      <c r="R54"/>
    </row>
    <row r="55" spans="1:18" ht="15">
      <c r="A55"/>
      <c r="B55" s="2"/>
      <c r="C55"/>
      <c r="D55"/>
      <c r="E55"/>
      <c r="F55"/>
      <c r="G55"/>
      <c r="H55"/>
      <c r="I55"/>
      <c r="J55"/>
      <c r="K55"/>
      <c r="L55"/>
      <c r="M55"/>
      <c r="N55"/>
      <c r="O55"/>
      <c r="P55"/>
      <c r="Q55"/>
      <c r="R55"/>
    </row>
    <row r="56" spans="1:18" ht="15">
      <c r="A56"/>
      <c r="B56" s="2"/>
      <c r="C56"/>
      <c r="D56"/>
      <c r="E56"/>
      <c r="F56"/>
      <c r="G56"/>
      <c r="H56"/>
      <c r="I56"/>
      <c r="J56"/>
      <c r="K56"/>
      <c r="L56"/>
      <c r="M56"/>
      <c r="N56"/>
      <c r="O56"/>
      <c r="P56"/>
      <c r="Q56"/>
      <c r="R56"/>
    </row>
  </sheetData>
  <mergeCells count="1">
    <mergeCell ref="A3:C3"/>
  </mergeCells>
  <phoneticPr fontId="9" type="noConversion"/>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C2528-244E-42F6-AB8E-307C68E3EB6B}">
  <sheetPr codeName="Sheet21">
    <tabColor rgb="FF00B050"/>
  </sheetPr>
  <dimension ref="A1:Y51"/>
  <sheetViews>
    <sheetView zoomScale="140" zoomScaleNormal="140" workbookViewId="0"/>
  </sheetViews>
  <sheetFormatPr defaultColWidth="8.42578125" defaultRowHeight="12.95"/>
  <cols>
    <col min="1" max="1" width="18.140625" style="153" customWidth="1"/>
    <col min="2" max="2" width="12" style="153" customWidth="1"/>
    <col min="3" max="4" width="13.42578125" style="153" customWidth="1"/>
    <col min="5" max="5" width="12.42578125" style="153" bestFit="1" customWidth="1"/>
    <col min="6" max="6" width="8.42578125" style="153"/>
    <col min="7" max="7" width="19" style="153" customWidth="1"/>
    <col min="8" max="8" width="14.140625" style="153" customWidth="1"/>
    <col min="9" max="9" width="10.42578125" style="153" customWidth="1"/>
    <col min="10" max="24" width="5.42578125" style="153" customWidth="1"/>
    <col min="25" max="16384" width="8.42578125" style="153"/>
  </cols>
  <sheetData>
    <row r="1" spans="1:25" s="3" customFormat="1" ht="15">
      <c r="A1" s="464" t="s">
        <v>2</v>
      </c>
      <c r="B1" s="607"/>
      <c r="C1" s="608"/>
      <c r="D1" s="608"/>
      <c r="E1" s="608"/>
      <c r="F1" s="608"/>
      <c r="G1" s="608"/>
      <c r="H1" s="463"/>
      <c r="I1" s="463"/>
      <c r="J1" s="463"/>
      <c r="K1" s="463"/>
      <c r="L1" s="463"/>
      <c r="M1" s="463"/>
      <c r="N1" s="463"/>
      <c r="O1" s="463"/>
      <c r="P1" s="463"/>
    </row>
    <row r="3" spans="1:25" ht="15.6" customHeight="1">
      <c r="G3" s="586"/>
      <c r="H3" s="586"/>
      <c r="I3" s="586"/>
      <c r="J3" s="586"/>
      <c r="K3" s="586"/>
    </row>
    <row r="4" spans="1:25" ht="29.25" customHeight="1">
      <c r="A4" s="504" t="str">
        <f>"% of Floor Area per CZ and Vintage Bin - "&amp;Prototype!A3</f>
        <v>% of Floor Area per CZ and Vintage Bin - Controlled Environment Horticulture</v>
      </c>
      <c r="B4" s="504"/>
      <c r="C4" s="504"/>
      <c r="D4" s="504"/>
      <c r="G4" s="504" t="str">
        <f>"% of Floor Area per CZ and Vintage Bin - "&amp;Prototype!A3</f>
        <v>% of Floor Area per CZ and Vintage Bin - Controlled Environment Horticulture</v>
      </c>
      <c r="H4" s="504"/>
      <c r="I4" s="504"/>
      <c r="J4" s="504"/>
      <c r="K4" s="504"/>
      <c r="L4" s="504"/>
      <c r="M4" s="504"/>
      <c r="N4" s="504"/>
      <c r="O4" s="504"/>
      <c r="P4" s="504"/>
      <c r="Q4" s="504"/>
      <c r="R4" s="504"/>
      <c r="S4" s="504"/>
      <c r="T4" s="504"/>
      <c r="U4" s="504"/>
      <c r="V4" s="504"/>
      <c r="W4" s="504"/>
      <c r="X4" s="504"/>
    </row>
    <row r="5" spans="1:25" ht="21" customHeight="1">
      <c r="A5" s="584" t="s">
        <v>81</v>
      </c>
      <c r="B5" s="584" t="s">
        <v>710</v>
      </c>
      <c r="C5" s="589" t="s">
        <v>714</v>
      </c>
      <c r="D5" s="590"/>
      <c r="G5" s="584" t="s">
        <v>81</v>
      </c>
      <c r="H5" s="584" t="s">
        <v>714</v>
      </c>
      <c r="I5" s="584" t="s">
        <v>710</v>
      </c>
      <c r="J5" s="584"/>
      <c r="K5" s="584"/>
      <c r="L5" s="584"/>
      <c r="M5" s="584"/>
      <c r="N5" s="584"/>
      <c r="O5" s="584"/>
      <c r="P5" s="584"/>
      <c r="Q5" s="584"/>
      <c r="R5" s="584"/>
      <c r="S5" s="584"/>
      <c r="T5" s="584"/>
      <c r="U5" s="584"/>
      <c r="V5" s="584"/>
      <c r="W5" s="584"/>
      <c r="X5" s="584"/>
    </row>
    <row r="6" spans="1:25" ht="27.95">
      <c r="A6" s="584"/>
      <c r="B6" s="584"/>
      <c r="C6" s="239" t="s">
        <v>176</v>
      </c>
      <c r="D6" s="235" t="s">
        <v>187</v>
      </c>
      <c r="G6" s="584"/>
      <c r="H6" s="584"/>
      <c r="I6" s="239">
        <v>1</v>
      </c>
      <c r="J6" s="239">
        <v>2</v>
      </c>
      <c r="K6" s="239">
        <v>3</v>
      </c>
      <c r="L6" s="239">
        <v>4</v>
      </c>
      <c r="M6" s="239">
        <v>5</v>
      </c>
      <c r="N6" s="239">
        <v>6</v>
      </c>
      <c r="O6" s="239">
        <v>7</v>
      </c>
      <c r="P6" s="239">
        <v>8</v>
      </c>
      <c r="Q6" s="239">
        <v>9</v>
      </c>
      <c r="R6" s="239">
        <v>10</v>
      </c>
      <c r="S6" s="239">
        <v>11</v>
      </c>
      <c r="T6" s="239">
        <v>12</v>
      </c>
      <c r="U6" s="239">
        <v>13</v>
      </c>
      <c r="V6" s="239">
        <v>14</v>
      </c>
      <c r="W6" s="239">
        <v>15</v>
      </c>
      <c r="X6" s="239">
        <v>16</v>
      </c>
    </row>
    <row r="7" spans="1:25" ht="17.25" customHeight="1">
      <c r="A7" s="585" t="s">
        <v>105</v>
      </c>
      <c r="B7" s="241">
        <v>1</v>
      </c>
      <c r="C7" s="254">
        <f>C35/($C35+$D35)</f>
        <v>0.88293638258891904</v>
      </c>
      <c r="D7" s="254">
        <f>D35/($C35+$D35)</f>
        <v>0.11706361741108093</v>
      </c>
      <c r="E7" s="200"/>
      <c r="G7" s="587" t="s">
        <v>105</v>
      </c>
      <c r="H7" s="284" t="s">
        <v>715</v>
      </c>
      <c r="I7" s="284">
        <v>0.88293638258891904</v>
      </c>
      <c r="J7" s="284">
        <v>0.85499354404086914</v>
      </c>
      <c r="K7" s="284">
        <v>0.89124740619791132</v>
      </c>
      <c r="L7" s="284">
        <v>0.96415016279027932</v>
      </c>
      <c r="M7" s="284">
        <v>0.96904626977684527</v>
      </c>
      <c r="N7" s="284">
        <v>0.96974817526813584</v>
      </c>
      <c r="O7" s="284">
        <v>0.99863619087365774</v>
      </c>
      <c r="P7" s="284">
        <v>0.96937441154932524</v>
      </c>
      <c r="Q7" s="284">
        <v>0.98396366903375876</v>
      </c>
      <c r="R7" s="284">
        <v>0.92847954720864423</v>
      </c>
      <c r="S7" s="284">
        <v>0.89249564939446668</v>
      </c>
      <c r="T7" s="284">
        <v>0.93689932414277743</v>
      </c>
      <c r="U7" s="284">
        <v>0.9834663887517866</v>
      </c>
      <c r="V7" s="284">
        <v>0.97746872977092858</v>
      </c>
      <c r="W7" s="284">
        <v>0.9307196717996129</v>
      </c>
      <c r="X7" s="284">
        <v>0.98053948455932072</v>
      </c>
      <c r="Y7" s="200"/>
    </row>
    <row r="8" spans="1:25" ht="17.25" customHeight="1">
      <c r="A8" s="585"/>
      <c r="B8" s="241">
        <v>2</v>
      </c>
      <c r="C8" s="254">
        <f t="shared" ref="C8:D8" si="0">C36/($C36+$D36)</f>
        <v>0.85499354404086914</v>
      </c>
      <c r="D8" s="254">
        <f t="shared" si="0"/>
        <v>0.145006455959131</v>
      </c>
      <c r="E8" s="200"/>
      <c r="G8" s="588"/>
      <c r="H8" s="286" t="s">
        <v>187</v>
      </c>
      <c r="I8" s="286">
        <v>0.11706361741108093</v>
      </c>
      <c r="J8" s="286">
        <v>0.145006455959131</v>
      </c>
      <c r="K8" s="286">
        <v>0.10875259380208864</v>
      </c>
      <c r="L8" s="286">
        <v>3.5849837209720646E-2</v>
      </c>
      <c r="M8" s="286">
        <v>3.0953730223154802E-2</v>
      </c>
      <c r="N8" s="286">
        <v>3.025182473186416E-2</v>
      </c>
      <c r="O8" s="286">
        <v>1.3638091263423833E-3</v>
      </c>
      <c r="P8" s="286">
        <v>3.0625588450674757E-2</v>
      </c>
      <c r="Q8" s="286">
        <v>1.6036330966241248E-2</v>
      </c>
      <c r="R8" s="286">
        <v>7.1520452791355812E-2</v>
      </c>
      <c r="S8" s="286">
        <v>0.10750435060553326</v>
      </c>
      <c r="T8" s="286">
        <v>6.310067585722258E-2</v>
      </c>
      <c r="U8" s="286">
        <v>1.6533611248213335E-2</v>
      </c>
      <c r="V8" s="286">
        <v>2.2531270229071389E-2</v>
      </c>
      <c r="W8" s="286">
        <v>6.928032820038714E-2</v>
      </c>
      <c r="X8" s="286">
        <v>1.9460515440679241E-2</v>
      </c>
      <c r="Y8" s="200"/>
    </row>
    <row r="9" spans="1:25" ht="17.25" customHeight="1">
      <c r="A9" s="585"/>
      <c r="B9" s="241">
        <v>3</v>
      </c>
      <c r="C9" s="254">
        <f t="shared" ref="C9:D9" si="1">C37/($C37+$D37)</f>
        <v>0.89124740619791132</v>
      </c>
      <c r="D9" s="254">
        <f t="shared" si="1"/>
        <v>0.10875259380208864</v>
      </c>
      <c r="E9" s="200"/>
      <c r="G9" s="285"/>
      <c r="H9" s="177"/>
      <c r="I9" s="177"/>
      <c r="J9" s="177"/>
      <c r="K9" s="177"/>
      <c r="L9" s="177"/>
      <c r="M9" s="177"/>
      <c r="N9" s="177"/>
      <c r="O9" s="177"/>
      <c r="P9" s="177"/>
      <c r="Q9" s="177"/>
      <c r="R9" s="177"/>
      <c r="S9" s="177"/>
      <c r="T9" s="177"/>
      <c r="U9" s="177"/>
      <c r="V9" s="177"/>
      <c r="W9" s="177"/>
      <c r="X9" s="177"/>
      <c r="Y9" s="200"/>
    </row>
    <row r="10" spans="1:25" ht="17.25" customHeight="1">
      <c r="A10" s="585"/>
      <c r="B10" s="241">
        <v>4</v>
      </c>
      <c r="C10" s="254">
        <f t="shared" ref="C10:D10" si="2">C38/($C38+$D38)</f>
        <v>0.96415016279027932</v>
      </c>
      <c r="D10" s="254">
        <f t="shared" si="2"/>
        <v>3.5849837209720646E-2</v>
      </c>
      <c r="E10" s="200"/>
      <c r="G10" s="285"/>
      <c r="H10" s="177"/>
      <c r="I10" s="177"/>
      <c r="J10" s="177"/>
      <c r="K10" s="177"/>
      <c r="L10" s="177"/>
      <c r="M10" s="177"/>
      <c r="N10" s="177"/>
      <c r="O10" s="177"/>
      <c r="P10" s="177"/>
      <c r="Q10" s="177"/>
      <c r="R10" s="177"/>
      <c r="S10" s="177"/>
      <c r="T10" s="177"/>
      <c r="U10" s="177"/>
      <c r="V10" s="177"/>
      <c r="W10" s="177"/>
      <c r="X10" s="177"/>
      <c r="Y10" s="200"/>
    </row>
    <row r="11" spans="1:25" ht="17.25" customHeight="1">
      <c r="A11" s="585"/>
      <c r="B11" s="241">
        <v>5</v>
      </c>
      <c r="C11" s="254">
        <f t="shared" ref="C11:D11" si="3">C39/($C39+$D39)</f>
        <v>0.96904626977684527</v>
      </c>
      <c r="D11" s="254">
        <f t="shared" si="3"/>
        <v>3.0953730223154802E-2</v>
      </c>
      <c r="E11" s="200"/>
      <c r="G11" s="285"/>
      <c r="H11" s="177"/>
      <c r="I11" s="177"/>
      <c r="J11" s="177"/>
      <c r="K11" s="177"/>
      <c r="L11" s="177"/>
      <c r="M11" s="177"/>
      <c r="N11" s="177"/>
      <c r="O11" s="177"/>
      <c r="P11" s="177"/>
      <c r="Q11" s="177"/>
      <c r="R11" s="177"/>
      <c r="S11" s="177"/>
      <c r="T11" s="177"/>
      <c r="U11" s="177"/>
      <c r="V11" s="177"/>
      <c r="W11" s="177"/>
      <c r="X11" s="177"/>
      <c r="Y11" s="200"/>
    </row>
    <row r="12" spans="1:25" ht="17.25" customHeight="1">
      <c r="A12" s="585"/>
      <c r="B12" s="241">
        <v>6</v>
      </c>
      <c r="C12" s="254">
        <f t="shared" ref="C12:D12" si="4">C40/($C40+$D40)</f>
        <v>0.96974817526813584</v>
      </c>
      <c r="D12" s="254">
        <f t="shared" si="4"/>
        <v>3.025182473186416E-2</v>
      </c>
      <c r="E12" s="200"/>
      <c r="G12" s="285"/>
      <c r="H12" s="177"/>
      <c r="I12" s="177"/>
      <c r="J12" s="177"/>
      <c r="K12" s="177"/>
      <c r="L12" s="177"/>
      <c r="M12" s="177"/>
      <c r="N12" s="177"/>
      <c r="O12" s="177"/>
      <c r="P12" s="177"/>
      <c r="Q12" s="177"/>
      <c r="R12" s="177"/>
      <c r="S12" s="177"/>
      <c r="T12" s="177"/>
      <c r="U12" s="177"/>
      <c r="V12" s="177"/>
      <c r="W12" s="177"/>
      <c r="X12" s="177"/>
      <c r="Y12" s="200"/>
    </row>
    <row r="13" spans="1:25" ht="17.25" customHeight="1">
      <c r="A13" s="585"/>
      <c r="B13" s="241">
        <v>7</v>
      </c>
      <c r="C13" s="254">
        <f t="shared" ref="C13:D13" si="5">C41/($C41+$D41)</f>
        <v>0.99863619087365774</v>
      </c>
      <c r="D13" s="254">
        <f t="shared" si="5"/>
        <v>1.3638091263423833E-3</v>
      </c>
      <c r="E13" s="200"/>
      <c r="G13" s="156"/>
      <c r="H13" s="198"/>
      <c r="I13" s="177"/>
      <c r="J13" s="177"/>
      <c r="K13" s="177"/>
      <c r="L13" s="177"/>
      <c r="M13" s="199"/>
    </row>
    <row r="14" spans="1:25" ht="17.25" customHeight="1">
      <c r="A14" s="585"/>
      <c r="B14" s="241">
        <v>8</v>
      </c>
      <c r="C14" s="254">
        <f t="shared" ref="C14:D14" si="6">C42/($C42+$D42)</f>
        <v>0.96937441154932524</v>
      </c>
      <c r="D14" s="254">
        <f t="shared" si="6"/>
        <v>3.0625588450674757E-2</v>
      </c>
      <c r="E14" s="200"/>
      <c r="G14" s="156"/>
      <c r="H14" s="198"/>
      <c r="I14" s="177"/>
      <c r="J14" s="177"/>
      <c r="K14" s="177"/>
      <c r="L14" s="177"/>
      <c r="M14" s="199"/>
    </row>
    <row r="15" spans="1:25" ht="17.25" customHeight="1">
      <c r="A15" s="585"/>
      <c r="B15" s="241">
        <v>9</v>
      </c>
      <c r="C15" s="254">
        <f t="shared" ref="C15:D15" si="7">C43/($C43+$D43)</f>
        <v>0.98396366903375876</v>
      </c>
      <c r="D15" s="254">
        <f t="shared" si="7"/>
        <v>1.6036330966241248E-2</v>
      </c>
      <c r="E15" s="200"/>
      <c r="G15" s="156"/>
      <c r="H15" s="198"/>
      <c r="I15" s="177"/>
      <c r="J15" s="177"/>
      <c r="K15" s="177"/>
      <c r="L15" s="177"/>
      <c r="M15" s="199"/>
    </row>
    <row r="16" spans="1:25" ht="17.25" customHeight="1">
      <c r="A16" s="585"/>
      <c r="B16" s="241">
        <v>10</v>
      </c>
      <c r="C16" s="254">
        <f t="shared" ref="C16:D16" si="8">C44/($C44+$D44)</f>
        <v>0.92847954720864423</v>
      </c>
      <c r="D16" s="254">
        <f t="shared" si="8"/>
        <v>7.1520452791355812E-2</v>
      </c>
      <c r="E16" s="200"/>
      <c r="G16" s="156"/>
      <c r="H16" s="198"/>
      <c r="I16" s="177"/>
      <c r="J16" s="177"/>
      <c r="K16" s="177"/>
      <c r="L16" s="177"/>
      <c r="M16" s="199"/>
    </row>
    <row r="17" spans="1:13" ht="17.25" customHeight="1">
      <c r="A17" s="585"/>
      <c r="B17" s="241">
        <v>11</v>
      </c>
      <c r="C17" s="254">
        <f t="shared" ref="C17:D17" si="9">C45/($C45+$D45)</f>
        <v>0.89249564939446668</v>
      </c>
      <c r="D17" s="254">
        <f t="shared" si="9"/>
        <v>0.10750435060553326</v>
      </c>
      <c r="E17" s="200"/>
      <c r="G17" s="156"/>
      <c r="H17" s="198"/>
      <c r="I17" s="177"/>
      <c r="J17" s="177"/>
      <c r="K17" s="177"/>
      <c r="L17" s="177"/>
      <c r="M17" s="199"/>
    </row>
    <row r="18" spans="1:13" ht="17.25" customHeight="1">
      <c r="A18" s="585"/>
      <c r="B18" s="241">
        <v>12</v>
      </c>
      <c r="C18" s="254">
        <f t="shared" ref="C18:D18" si="10">C46/($C46+$D46)</f>
        <v>0.93689932414277743</v>
      </c>
      <c r="D18" s="254">
        <f t="shared" si="10"/>
        <v>6.310067585722258E-2</v>
      </c>
      <c r="E18" s="200"/>
      <c r="G18" s="156"/>
      <c r="H18" s="198"/>
      <c r="I18" s="177"/>
      <c r="J18" s="177"/>
      <c r="K18" s="177"/>
      <c r="L18" s="177"/>
      <c r="M18" s="199"/>
    </row>
    <row r="19" spans="1:13" ht="17.25" customHeight="1">
      <c r="A19" s="585"/>
      <c r="B19" s="241">
        <v>13</v>
      </c>
      <c r="C19" s="254">
        <f t="shared" ref="C19:D19" si="11">C47/($C47+$D47)</f>
        <v>0.9834663887517866</v>
      </c>
      <c r="D19" s="254">
        <f t="shared" si="11"/>
        <v>1.6533611248213335E-2</v>
      </c>
      <c r="E19" s="200"/>
      <c r="G19" s="156"/>
      <c r="H19" s="198"/>
      <c r="I19" s="177"/>
      <c r="J19" s="177"/>
      <c r="K19" s="177"/>
      <c r="L19" s="177"/>
      <c r="M19" s="199"/>
    </row>
    <row r="20" spans="1:13" ht="17.25" customHeight="1">
      <c r="A20" s="585"/>
      <c r="B20" s="241">
        <v>14</v>
      </c>
      <c r="C20" s="254">
        <f t="shared" ref="C20:D20" si="12">C48/($C48+$D48)</f>
        <v>0.97746872977092858</v>
      </c>
      <c r="D20" s="254">
        <f t="shared" si="12"/>
        <v>2.2531270229071389E-2</v>
      </c>
      <c r="E20" s="200"/>
      <c r="G20" s="156"/>
      <c r="H20" s="198"/>
      <c r="I20" s="177"/>
      <c r="J20" s="177"/>
      <c r="K20" s="177"/>
      <c r="L20" s="177"/>
      <c r="M20" s="199"/>
    </row>
    <row r="21" spans="1:13" ht="17.25" customHeight="1">
      <c r="A21" s="585"/>
      <c r="B21" s="241">
        <v>15</v>
      </c>
      <c r="C21" s="254">
        <f t="shared" ref="C21:D21" si="13">C49/($C49+$D49)</f>
        <v>0.9307196717996129</v>
      </c>
      <c r="D21" s="254">
        <f t="shared" si="13"/>
        <v>6.928032820038714E-2</v>
      </c>
      <c r="E21" s="200"/>
      <c r="G21" s="156"/>
      <c r="H21" s="198"/>
      <c r="I21" s="177"/>
      <c r="J21" s="177"/>
      <c r="K21" s="177"/>
      <c r="L21" s="177"/>
      <c r="M21" s="199"/>
    </row>
    <row r="22" spans="1:13" ht="17.25" customHeight="1">
      <c r="A22" s="585"/>
      <c r="B22" s="241">
        <v>16</v>
      </c>
      <c r="C22" s="254">
        <f t="shared" ref="C22:D22" si="14">C50/($C50+$D50)</f>
        <v>0.98053948455932072</v>
      </c>
      <c r="D22" s="254">
        <f t="shared" si="14"/>
        <v>1.9460515440679241E-2</v>
      </c>
      <c r="E22" s="200"/>
      <c r="G22" s="156"/>
      <c r="H22" s="198"/>
      <c r="I22" s="177"/>
      <c r="J22" s="177"/>
      <c r="K22" s="177"/>
      <c r="L22" s="177"/>
      <c r="M22" s="199"/>
    </row>
    <row r="23" spans="1:13">
      <c r="A23" s="585"/>
      <c r="B23" s="240" t="s">
        <v>207</v>
      </c>
      <c r="C23" s="255"/>
      <c r="D23" s="255"/>
      <c r="E23" s="200"/>
    </row>
    <row r="25" spans="1:13">
      <c r="A25" s="153" t="s">
        <v>716</v>
      </c>
    </row>
    <row r="30" spans="1:13">
      <c r="A30" s="153" t="s">
        <v>717</v>
      </c>
    </row>
    <row r="32" spans="1:13" s="171" customFormat="1" hidden="1">
      <c r="A32" s="171" t="s">
        <v>79</v>
      </c>
    </row>
    <row r="33" spans="1:4" ht="15">
      <c r="A33" s="584" t="s">
        <v>81</v>
      </c>
      <c r="B33" s="584" t="s">
        <v>710</v>
      </c>
      <c r="C33" s="589" t="s">
        <v>714</v>
      </c>
      <c r="D33" s="590"/>
    </row>
    <row r="34" spans="1:4">
      <c r="A34" s="584"/>
      <c r="B34" s="584"/>
      <c r="C34" s="239" t="s">
        <v>176</v>
      </c>
      <c r="D34" s="239" t="s">
        <v>718</v>
      </c>
    </row>
    <row r="35" spans="1:4">
      <c r="A35" s="585"/>
      <c r="B35" s="241">
        <v>1</v>
      </c>
      <c r="C35" s="153">
        <v>0.69879999999999998</v>
      </c>
      <c r="D35" s="279">
        <v>9.2649999999999996E-2</v>
      </c>
    </row>
    <row r="36" spans="1:4">
      <c r="A36" s="585"/>
      <c r="B36" s="241">
        <v>2</v>
      </c>
      <c r="C36" s="153">
        <v>0.45689999999999997</v>
      </c>
      <c r="D36" s="279">
        <v>7.7490000000000003E-2</v>
      </c>
    </row>
    <row r="37" spans="1:4">
      <c r="A37" s="585"/>
      <c r="B37" s="241">
        <v>3</v>
      </c>
      <c r="C37" s="153">
        <v>2.62</v>
      </c>
      <c r="D37" s="279">
        <v>0.31969999999999998</v>
      </c>
    </row>
    <row r="38" spans="1:4">
      <c r="A38" s="585"/>
      <c r="B38" s="241">
        <v>4</v>
      </c>
      <c r="C38" s="153">
        <v>1.0720000000000001</v>
      </c>
      <c r="D38" s="279">
        <v>3.986E-2</v>
      </c>
    </row>
    <row r="39" spans="1:4">
      <c r="A39" s="585"/>
      <c r="B39" s="241">
        <v>5</v>
      </c>
      <c r="C39" s="153">
        <v>6.327</v>
      </c>
      <c r="D39" s="279">
        <v>0.2021</v>
      </c>
    </row>
    <row r="40" spans="1:4">
      <c r="A40" s="585"/>
      <c r="B40" s="241">
        <v>6</v>
      </c>
      <c r="C40" s="153">
        <v>8.2639999999999993</v>
      </c>
      <c r="D40" s="279">
        <v>0.25779999999999997</v>
      </c>
    </row>
    <row r="41" spans="1:4">
      <c r="A41" s="585"/>
      <c r="B41" s="241">
        <v>7</v>
      </c>
      <c r="C41" s="153">
        <v>1.0720000000000001</v>
      </c>
      <c r="D41" s="279">
        <v>1.464E-3</v>
      </c>
    </row>
    <row r="42" spans="1:4">
      <c r="A42" s="585"/>
      <c r="B42" s="241">
        <v>8</v>
      </c>
      <c r="C42" s="153">
        <v>0.74129999999999996</v>
      </c>
      <c r="D42" s="279">
        <v>2.342E-2</v>
      </c>
    </row>
    <row r="43" spans="1:4">
      <c r="A43" s="585"/>
      <c r="B43" s="241">
        <v>9</v>
      </c>
      <c r="C43" s="153">
        <v>1.599</v>
      </c>
      <c r="D43" s="279">
        <v>2.606E-2</v>
      </c>
    </row>
    <row r="44" spans="1:4">
      <c r="A44" s="585"/>
      <c r="B44" s="241">
        <v>10</v>
      </c>
      <c r="C44" s="153">
        <v>3.609</v>
      </c>
      <c r="D44" s="279">
        <v>0.27800000000000002</v>
      </c>
    </row>
    <row r="45" spans="1:4">
      <c r="A45" s="585"/>
      <c r="B45" s="241">
        <v>11</v>
      </c>
      <c r="C45" s="153">
        <v>2.5129999999999999</v>
      </c>
      <c r="D45" s="279">
        <v>0.30270000000000002</v>
      </c>
    </row>
    <row r="46" spans="1:4">
      <c r="A46" s="585"/>
      <c r="B46" s="241">
        <v>12</v>
      </c>
      <c r="C46" s="153">
        <v>4.5330000000000004</v>
      </c>
      <c r="D46" s="279">
        <v>0.30530000000000002</v>
      </c>
    </row>
    <row r="47" spans="1:4">
      <c r="A47" s="585"/>
      <c r="B47" s="241">
        <v>13</v>
      </c>
      <c r="C47" s="153">
        <v>5.36</v>
      </c>
      <c r="D47" s="279">
        <v>9.0109999999999996E-2</v>
      </c>
    </row>
    <row r="48" spans="1:4">
      <c r="A48" s="585"/>
      <c r="B48" s="241">
        <v>14</v>
      </c>
      <c r="C48" s="153">
        <v>0.46810000000000002</v>
      </c>
      <c r="D48" s="279">
        <v>1.0789999999999999E-2</v>
      </c>
    </row>
    <row r="49" spans="1:5">
      <c r="A49" s="585"/>
      <c r="B49" s="241">
        <v>15</v>
      </c>
      <c r="C49" s="153">
        <v>0.64429999999999998</v>
      </c>
      <c r="D49" s="279">
        <v>4.7960000000000003E-2</v>
      </c>
    </row>
    <row r="50" spans="1:5">
      <c r="A50" s="585"/>
      <c r="B50" s="241">
        <v>16</v>
      </c>
      <c r="C50" s="153">
        <v>0.2349</v>
      </c>
      <c r="D50" s="280">
        <v>4.6620000000000003E-3</v>
      </c>
    </row>
    <row r="51" spans="1:5">
      <c r="A51" s="585"/>
      <c r="B51" s="240" t="s">
        <v>207</v>
      </c>
      <c r="C51" s="280">
        <f>SUM(C35:C50)</f>
        <v>40.213299999999997</v>
      </c>
      <c r="D51" s="280">
        <f>SUM(D35:D50)</f>
        <v>2.0800660000000009</v>
      </c>
      <c r="E51" s="281"/>
    </row>
  </sheetData>
  <mergeCells count="15">
    <mergeCell ref="A33:A34"/>
    <mergeCell ref="B33:B34"/>
    <mergeCell ref="A35:A51"/>
    <mergeCell ref="G3:K3"/>
    <mergeCell ref="A7:A23"/>
    <mergeCell ref="G4:X4"/>
    <mergeCell ref="I5:X5"/>
    <mergeCell ref="H5:H6"/>
    <mergeCell ref="G5:G6"/>
    <mergeCell ref="A4:D4"/>
    <mergeCell ref="B5:B6"/>
    <mergeCell ref="A5:A6"/>
    <mergeCell ref="G7:G8"/>
    <mergeCell ref="C5:D5"/>
    <mergeCell ref="C33:D33"/>
  </mergeCells>
  <pageMargins left="0.7" right="0.7" top="0.75" bottom="0.75" header="0.3" footer="0.3"/>
  <drawing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B9E4-8E7A-41B8-B067-A47E2307C7E6}">
  <sheetPr codeName="Sheet22">
    <tabColor rgb="FF00B050"/>
  </sheetPr>
  <dimension ref="A1:P5"/>
  <sheetViews>
    <sheetView zoomScale="160" zoomScaleNormal="160" workbookViewId="0"/>
  </sheetViews>
  <sheetFormatPr defaultColWidth="8.42578125" defaultRowHeight="12.95"/>
  <cols>
    <col min="1" max="1" width="21" style="153" customWidth="1"/>
    <col min="2" max="3" width="14.42578125" style="153" customWidth="1"/>
    <col min="4" max="8" width="8.42578125" style="153"/>
    <col min="9" max="9" width="13.42578125" style="153" customWidth="1"/>
    <col min="10" max="10" width="14.42578125" style="153" customWidth="1"/>
    <col min="11" max="16384" width="8.42578125" style="153"/>
  </cols>
  <sheetData>
    <row r="1" spans="1:16" s="3" customFormat="1" ht="15">
      <c r="A1" s="464" t="s">
        <v>2</v>
      </c>
      <c r="B1" s="607"/>
      <c r="C1" s="608"/>
      <c r="D1" s="608"/>
      <c r="E1" s="608"/>
      <c r="F1" s="608"/>
      <c r="G1" s="608"/>
      <c r="H1" s="463"/>
      <c r="I1" s="463"/>
      <c r="J1" s="463"/>
      <c r="K1" s="463"/>
      <c r="L1" s="463"/>
      <c r="M1" s="463"/>
      <c r="N1" s="463"/>
      <c r="O1" s="463"/>
      <c r="P1" s="463"/>
    </row>
    <row r="3" spans="1:16" ht="21.75" customHeight="1">
      <c r="A3" s="504" t="str">
        <f>"EV Charger - "&amp;Prototype!A3</f>
        <v>EV Charger - Controlled Environment Horticulture</v>
      </c>
      <c r="B3" s="504"/>
      <c r="C3" s="504"/>
      <c r="D3" s="504"/>
      <c r="E3" s="504"/>
      <c r="F3" s="504"/>
      <c r="G3" s="504"/>
      <c r="H3" s="504"/>
    </row>
    <row r="4" spans="1:16">
      <c r="A4" s="153" t="s">
        <v>62</v>
      </c>
      <c r="B4" s="189"/>
      <c r="C4" s="190"/>
      <c r="D4" s="191"/>
      <c r="E4" s="191"/>
    </row>
    <row r="5" spans="1:16">
      <c r="A5" s="180"/>
      <c r="B5" s="188"/>
      <c r="C5" s="221"/>
      <c r="D5" s="192"/>
      <c r="E5" s="192"/>
    </row>
  </sheetData>
  <mergeCells count="1">
    <mergeCell ref="A3:H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6AAB3-37D4-40C4-AD32-87DEB55DC747}">
  <sheetPr codeName="Sheet17">
    <tabColor rgb="FF00B050"/>
  </sheetPr>
  <dimension ref="A1:P30"/>
  <sheetViews>
    <sheetView zoomScale="111" zoomScaleNormal="111" workbookViewId="0">
      <selection activeCell="I31" sqref="I31"/>
    </sheetView>
  </sheetViews>
  <sheetFormatPr defaultColWidth="8.42578125" defaultRowHeight="12.95"/>
  <cols>
    <col min="1" max="1" width="22.140625" style="153" customWidth="1"/>
    <col min="2" max="4" width="21.42578125" style="153" customWidth="1"/>
    <col min="5" max="5" width="21.42578125" style="220" customWidth="1"/>
    <col min="6" max="7" width="21.42578125" style="153" customWidth="1"/>
    <col min="8" max="8" width="19.42578125" style="153" customWidth="1"/>
    <col min="9" max="9" width="54.42578125" style="153" customWidth="1"/>
    <col min="10" max="10" width="9.42578125" style="153" customWidth="1"/>
    <col min="11" max="11" width="13.42578125" style="153" customWidth="1"/>
    <col min="12" max="12" width="24" style="153" customWidth="1"/>
    <col min="13" max="13" width="10.42578125" style="153" customWidth="1"/>
    <col min="14" max="14" width="11.42578125" style="153" customWidth="1"/>
    <col min="15" max="15" width="10.42578125" style="153" customWidth="1"/>
    <col min="16" max="16" width="13.42578125" style="153" customWidth="1"/>
    <col min="17" max="18" width="9.42578125" style="153" customWidth="1"/>
    <col min="19" max="19" width="12.42578125" style="153" customWidth="1"/>
    <col min="20" max="20" width="14.42578125" style="153" customWidth="1"/>
    <col min="21" max="21" width="20.42578125" style="153" customWidth="1"/>
    <col min="22" max="22" width="19.42578125" style="153" customWidth="1"/>
    <col min="23" max="28" width="8.42578125" style="153"/>
    <col min="29" max="29" width="13.42578125" style="153" bestFit="1" customWidth="1"/>
    <col min="30" max="16384" width="8.42578125" style="153"/>
  </cols>
  <sheetData>
    <row r="1" spans="1:16" s="3" customFormat="1" ht="15">
      <c r="A1" s="464" t="s">
        <v>2</v>
      </c>
      <c r="B1" s="607"/>
      <c r="C1" s="608"/>
      <c r="D1" s="608"/>
      <c r="E1" s="608"/>
      <c r="F1" s="608"/>
      <c r="G1" s="608"/>
      <c r="H1" s="463"/>
      <c r="I1" s="463"/>
      <c r="J1" s="463"/>
      <c r="K1" s="463"/>
      <c r="L1" s="463"/>
      <c r="M1" s="463"/>
      <c r="N1" s="463"/>
      <c r="O1" s="463"/>
      <c r="P1" s="463"/>
    </row>
    <row r="3" spans="1:16" ht="26.25" customHeight="1">
      <c r="A3" s="591" t="str">
        <f>"Interior Lighting - "&amp;Prototype!A3</f>
        <v>Interior Lighting - Controlled Environment Horticulture</v>
      </c>
      <c r="B3" s="591"/>
      <c r="C3" s="591"/>
      <c r="D3" s="591"/>
      <c r="E3" s="591"/>
      <c r="F3" s="591"/>
      <c r="G3" s="591"/>
    </row>
    <row r="4" spans="1:16" ht="18.75" customHeight="1">
      <c r="A4" s="567" t="s">
        <v>627</v>
      </c>
      <c r="B4" s="576" t="s">
        <v>719</v>
      </c>
      <c r="C4" s="576"/>
      <c r="D4" s="576"/>
      <c r="E4" s="576" t="s">
        <v>176</v>
      </c>
      <c r="F4" s="576"/>
      <c r="G4" s="576"/>
    </row>
    <row r="5" spans="1:16" ht="28.7" customHeight="1">
      <c r="A5" s="567"/>
      <c r="B5" s="336" t="s">
        <v>720</v>
      </c>
      <c r="C5" s="336" t="s">
        <v>721</v>
      </c>
      <c r="D5" s="336" t="s">
        <v>125</v>
      </c>
      <c r="E5" s="336" t="s">
        <v>722</v>
      </c>
      <c r="F5" s="336" t="s">
        <v>721</v>
      </c>
      <c r="G5" s="336" t="s">
        <v>125</v>
      </c>
    </row>
    <row r="6" spans="1:16" ht="25.7" customHeight="1">
      <c r="A6" s="201" t="s">
        <v>52</v>
      </c>
      <c r="B6" s="163">
        <v>0.4</v>
      </c>
      <c r="C6" s="163" t="s">
        <v>54</v>
      </c>
      <c r="D6" s="495"/>
      <c r="E6" s="269">
        <v>0.5</v>
      </c>
      <c r="F6" s="163" t="s">
        <v>54</v>
      </c>
      <c r="G6" s="495"/>
    </row>
    <row r="7" spans="1:16" ht="25.7" customHeight="1">
      <c r="A7" s="201" t="s">
        <v>56</v>
      </c>
      <c r="B7" s="163">
        <v>0.4</v>
      </c>
      <c r="C7" s="163" t="s">
        <v>54</v>
      </c>
      <c r="D7" s="495"/>
      <c r="E7" s="269">
        <v>0.5</v>
      </c>
      <c r="F7" s="163" t="s">
        <v>54</v>
      </c>
      <c r="G7" s="495"/>
    </row>
    <row r="8" spans="1:16" ht="17.25" customHeight="1">
      <c r="A8" s="201" t="s">
        <v>60</v>
      </c>
      <c r="B8" s="163">
        <v>0.6</v>
      </c>
      <c r="C8" s="163" t="s">
        <v>54</v>
      </c>
      <c r="D8" s="495"/>
      <c r="E8" s="269">
        <v>0.75</v>
      </c>
      <c r="F8" s="163" t="s">
        <v>54</v>
      </c>
      <c r="G8" s="495"/>
    </row>
    <row r="9" spans="1:16" ht="17.25" customHeight="1">
      <c r="A9" s="201" t="s">
        <v>66</v>
      </c>
      <c r="B9" s="163">
        <v>0.4</v>
      </c>
      <c r="C9" s="163" t="s">
        <v>54</v>
      </c>
      <c r="D9" s="495"/>
      <c r="E9" s="269">
        <v>0.6</v>
      </c>
      <c r="F9" s="163" t="s">
        <v>54</v>
      </c>
      <c r="G9" s="495"/>
    </row>
    <row r="10" spans="1:16" ht="17.25" customHeight="1">
      <c r="A10" s="201" t="s">
        <v>68</v>
      </c>
      <c r="B10" s="248">
        <v>0.6</v>
      </c>
      <c r="C10" s="248">
        <v>0.2</v>
      </c>
      <c r="D10" s="495"/>
      <c r="E10" s="269">
        <v>0.75</v>
      </c>
      <c r="F10" s="163" t="s">
        <v>54</v>
      </c>
      <c r="G10" s="495"/>
    </row>
    <row r="11" spans="1:16" ht="13.5" customHeight="1">
      <c r="A11" s="201" t="s">
        <v>71</v>
      </c>
      <c r="B11" s="248">
        <v>0.65</v>
      </c>
      <c r="C11" s="349" t="s">
        <v>54</v>
      </c>
      <c r="D11" s="495"/>
      <c r="E11" s="349">
        <v>0.75</v>
      </c>
      <c r="F11" s="163" t="s">
        <v>54</v>
      </c>
      <c r="G11" s="495"/>
    </row>
    <row r="12" spans="1:16" ht="13.5" customHeight="1">
      <c r="A12" s="201" t="s">
        <v>72</v>
      </c>
      <c r="B12" s="349">
        <v>0.6</v>
      </c>
      <c r="C12" s="349" t="s">
        <v>54</v>
      </c>
      <c r="D12" s="495"/>
      <c r="E12" s="269">
        <v>0.75</v>
      </c>
      <c r="F12" s="163" t="s">
        <v>54</v>
      </c>
      <c r="G12" s="495"/>
    </row>
    <row r="13" spans="1:16" ht="13.5" customHeight="1">
      <c r="B13" s="170"/>
      <c r="C13" s="170"/>
      <c r="D13" s="170"/>
      <c r="E13" s="170"/>
    </row>
    <row r="14" spans="1:16" ht="13.5" customHeight="1">
      <c r="B14" s="170"/>
      <c r="C14" s="170"/>
      <c r="D14" s="170"/>
      <c r="E14" s="170"/>
    </row>
    <row r="15" spans="1:16" ht="13.5" customHeight="1">
      <c r="B15" s="170"/>
      <c r="C15" s="170"/>
      <c r="D15" s="170"/>
      <c r="E15" s="170"/>
    </row>
    <row r="16" spans="1:16" ht="13.5" customHeight="1">
      <c r="B16" s="170"/>
      <c r="C16" s="170"/>
      <c r="D16" s="170"/>
      <c r="E16" s="170"/>
    </row>
    <row r="17" spans="2:7" ht="13.5" customHeight="1">
      <c r="B17" s="170"/>
      <c r="C17" s="170"/>
      <c r="D17" s="272"/>
      <c r="E17" s="275"/>
      <c r="F17" s="274"/>
      <c r="G17" s="276"/>
    </row>
    <row r="18" spans="2:7" ht="13.5" customHeight="1">
      <c r="B18" s="170"/>
      <c r="C18" s="170"/>
      <c r="D18" s="272"/>
      <c r="E18" s="273"/>
      <c r="F18" s="274"/>
      <c r="G18" s="276"/>
    </row>
    <row r="19" spans="2:7" ht="13.5" customHeight="1">
      <c r="B19" s="170"/>
      <c r="C19" s="170"/>
      <c r="D19" s="170"/>
      <c r="E19" s="170"/>
    </row>
    <row r="20" spans="2:7" ht="13.5" customHeight="1">
      <c r="B20" s="170"/>
      <c r="C20" s="170"/>
      <c r="D20" s="170"/>
      <c r="E20" s="170"/>
    </row>
    <row r="21" spans="2:7" ht="13.5" customHeight="1">
      <c r="B21" s="170"/>
      <c r="C21" s="170"/>
      <c r="D21" s="170"/>
      <c r="E21" s="170"/>
    </row>
    <row r="22" spans="2:7" ht="13.5" customHeight="1">
      <c r="B22" s="170"/>
      <c r="C22" s="170"/>
      <c r="D22" s="170"/>
      <c r="E22" s="170"/>
    </row>
    <row r="23" spans="2:7" ht="13.5" customHeight="1">
      <c r="B23" s="170"/>
      <c r="C23" s="170"/>
      <c r="D23" s="170"/>
      <c r="E23" s="170"/>
    </row>
    <row r="24" spans="2:7" ht="13.5" customHeight="1">
      <c r="B24" s="170"/>
      <c r="C24" s="170"/>
      <c r="D24" s="170"/>
      <c r="E24" s="170"/>
    </row>
    <row r="25" spans="2:7" ht="13.5" customHeight="1">
      <c r="B25" s="170"/>
      <c r="C25" s="170"/>
      <c r="D25" s="170"/>
      <c r="E25" s="170"/>
    </row>
    <row r="26" spans="2:7" ht="13.5" customHeight="1">
      <c r="B26" s="170"/>
      <c r="C26" s="170"/>
      <c r="D26" s="170"/>
      <c r="E26" s="170"/>
    </row>
    <row r="27" spans="2:7" ht="13.5" customHeight="1">
      <c r="B27" s="170"/>
      <c r="C27" s="170"/>
      <c r="D27" s="170"/>
      <c r="E27" s="170"/>
    </row>
    <row r="28" spans="2:7" ht="13.5" customHeight="1">
      <c r="B28" s="170"/>
      <c r="C28" s="170"/>
      <c r="D28" s="170"/>
      <c r="E28" s="170"/>
    </row>
    <row r="29" spans="2:7" ht="13.5" customHeight="1">
      <c r="B29" s="170"/>
      <c r="C29" s="170"/>
      <c r="D29" s="170"/>
      <c r="E29" s="170"/>
    </row>
    <row r="30" spans="2:7" ht="13.5" customHeight="1">
      <c r="B30" s="170"/>
      <c r="C30" s="170"/>
      <c r="D30" s="170"/>
      <c r="E30" s="170"/>
    </row>
  </sheetData>
  <mergeCells count="6">
    <mergeCell ref="G6:G12"/>
    <mergeCell ref="D6:D12"/>
    <mergeCell ref="A3:G3"/>
    <mergeCell ref="A4:A5"/>
    <mergeCell ref="B4:D4"/>
    <mergeCell ref="E4:G4"/>
  </mergeCells>
  <phoneticPr fontId="9"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98FA8-1D97-4D12-96EB-6911ACEC625A}">
  <sheetPr codeName="Sheet18">
    <tabColor rgb="FF00B050"/>
  </sheetPr>
  <dimension ref="A1:P71"/>
  <sheetViews>
    <sheetView zoomScale="170" zoomScaleNormal="170" workbookViewId="0"/>
  </sheetViews>
  <sheetFormatPr defaultColWidth="8.42578125" defaultRowHeight="12.95"/>
  <cols>
    <col min="1" max="1" width="34" style="153" customWidth="1"/>
    <col min="2" max="2" width="37.85546875" style="153" customWidth="1"/>
    <col min="3" max="3" width="12.42578125" style="156" customWidth="1"/>
    <col min="4" max="4" width="20.140625" style="153" customWidth="1"/>
    <col min="5" max="5" width="33.140625" style="153" customWidth="1"/>
    <col min="6" max="6" width="12.42578125" style="153" customWidth="1"/>
    <col min="7" max="7" width="17.42578125" style="220" customWidth="1"/>
    <col min="8" max="8" width="15.42578125" style="153" customWidth="1"/>
    <col min="9" max="9" width="13.42578125" style="153" customWidth="1"/>
    <col min="10" max="16384" width="8.42578125" style="153"/>
  </cols>
  <sheetData>
    <row r="1" spans="1:16" s="3" customFormat="1" ht="15">
      <c r="A1" s="464" t="s">
        <v>2</v>
      </c>
      <c r="B1" s="607"/>
      <c r="C1" s="608"/>
      <c r="D1" s="608"/>
      <c r="E1" s="608"/>
      <c r="F1" s="608"/>
      <c r="G1" s="608"/>
      <c r="H1" s="463"/>
      <c r="I1" s="463"/>
      <c r="J1" s="463"/>
      <c r="K1" s="463"/>
      <c r="L1" s="463"/>
      <c r="M1" s="463"/>
      <c r="N1" s="463"/>
      <c r="O1" s="463"/>
      <c r="P1" s="463"/>
    </row>
    <row r="3" spans="1:16" ht="25.5" customHeight="1">
      <c r="A3" s="593" t="str">
        <f>"Exterior Lighting - "&amp;Prototype!A3</f>
        <v>Exterior Lighting - Controlled Environment Horticulture</v>
      </c>
      <c r="B3" s="593"/>
      <c r="C3" s="593"/>
      <c r="D3" s="593"/>
    </row>
    <row r="4" spans="1:16" ht="37.5" customHeight="1">
      <c r="A4" s="235" t="s">
        <v>723</v>
      </c>
      <c r="B4" s="235" t="s">
        <v>724</v>
      </c>
      <c r="C4" s="350" t="s">
        <v>725</v>
      </c>
      <c r="D4" s="235" t="s">
        <v>125</v>
      </c>
    </row>
    <row r="5" spans="1:16" ht="22.5" customHeight="1">
      <c r="A5" s="237">
        <v>752</v>
      </c>
      <c r="B5" s="237">
        <f>G17</f>
        <v>726.62</v>
      </c>
      <c r="C5" s="351">
        <f>B5+A5</f>
        <v>1478.62</v>
      </c>
      <c r="D5" s="233" t="s">
        <v>726</v>
      </c>
    </row>
    <row r="10" spans="1:16" ht="22.5" customHeight="1">
      <c r="A10" s="486" t="s">
        <v>727</v>
      </c>
      <c r="B10" s="486"/>
      <c r="C10" s="486"/>
      <c r="D10" s="486"/>
      <c r="E10" s="486"/>
      <c r="F10" s="486"/>
      <c r="G10" s="296"/>
    </row>
    <row r="11" spans="1:16" ht="57.75" customHeight="1">
      <c r="A11" s="234" t="s">
        <v>728</v>
      </c>
      <c r="B11" s="594" t="s">
        <v>729</v>
      </c>
      <c r="C11" s="595"/>
      <c r="D11" s="235" t="s">
        <v>730</v>
      </c>
      <c r="E11" s="235" t="s">
        <v>731</v>
      </c>
      <c r="F11" s="235" t="s">
        <v>730</v>
      </c>
      <c r="G11" s="235" t="s">
        <v>732</v>
      </c>
    </row>
    <row r="12" spans="1:16" ht="19.5" customHeight="1">
      <c r="A12" s="236" t="s">
        <v>733</v>
      </c>
      <c r="B12" s="246" t="s">
        <v>734</v>
      </c>
      <c r="C12" s="352"/>
      <c r="D12" s="242"/>
      <c r="E12" s="242">
        <v>200</v>
      </c>
      <c r="F12" s="242" t="s">
        <v>735</v>
      </c>
      <c r="G12" s="399">
        <f>$E12</f>
        <v>200</v>
      </c>
    </row>
    <row r="13" spans="1:16" ht="42">
      <c r="A13" s="232" t="s">
        <v>736</v>
      </c>
      <c r="B13" s="232" t="s">
        <v>737</v>
      </c>
      <c r="C13" s="353">
        <f>B23/830*400</f>
        <v>12296.385542168675</v>
      </c>
      <c r="D13" s="242" t="s">
        <v>738</v>
      </c>
      <c r="E13" s="242">
        <v>1.9E-2</v>
      </c>
      <c r="F13" s="242" t="s">
        <v>739</v>
      </c>
      <c r="G13" s="399">
        <f>$E13*C13</f>
        <v>233.63132530120481</v>
      </c>
    </row>
    <row r="14" spans="1:16" ht="34.5" customHeight="1">
      <c r="A14" s="236" t="s">
        <v>740</v>
      </c>
      <c r="B14" s="232" t="s">
        <v>741</v>
      </c>
      <c r="C14" s="352">
        <v>5</v>
      </c>
      <c r="D14" s="242" t="s">
        <v>742</v>
      </c>
      <c r="E14" s="242">
        <v>15</v>
      </c>
      <c r="F14" s="242" t="s">
        <v>743</v>
      </c>
      <c r="G14" s="399">
        <f>E14*C14</f>
        <v>75</v>
      </c>
    </row>
    <row r="15" spans="1:16" ht="98.1">
      <c r="A15" s="236" t="s">
        <v>744</v>
      </c>
      <c r="B15" s="258" t="s">
        <v>745</v>
      </c>
      <c r="C15" s="354">
        <f>B22*0.5*MIN(B25,30)</f>
        <v>4516.2</v>
      </c>
      <c r="D15" s="242" t="s">
        <v>738</v>
      </c>
      <c r="E15" s="242">
        <v>0.1</v>
      </c>
      <c r="F15" s="242" t="s">
        <v>739</v>
      </c>
      <c r="G15" s="399">
        <f>E15*C15</f>
        <v>451.62</v>
      </c>
    </row>
    <row r="16" spans="1:16" ht="14.1">
      <c r="A16" s="592" t="s">
        <v>746</v>
      </c>
      <c r="B16" s="592"/>
      <c r="C16" s="592"/>
      <c r="D16" s="592"/>
      <c r="E16" s="592"/>
      <c r="F16" s="592"/>
      <c r="G16" s="400">
        <f>G13</f>
        <v>233.63132530120481</v>
      </c>
    </row>
    <row r="17" spans="1:7" ht="14.1">
      <c r="A17" s="592" t="s">
        <v>747</v>
      </c>
      <c r="B17" s="592"/>
      <c r="C17" s="592"/>
      <c r="D17" s="592"/>
      <c r="E17" s="592"/>
      <c r="F17" s="592"/>
      <c r="G17" s="400">
        <f>G12+G14+G15</f>
        <v>726.62</v>
      </c>
    </row>
    <row r="18" spans="1:7" ht="14.1">
      <c r="A18" s="592" t="s">
        <v>748</v>
      </c>
      <c r="B18" s="592"/>
      <c r="C18" s="592"/>
      <c r="D18" s="592"/>
      <c r="E18" s="592"/>
      <c r="F18" s="592"/>
      <c r="G18" s="400"/>
    </row>
    <row r="19" spans="1:7" ht="14.1">
      <c r="A19" s="219"/>
      <c r="B19" s="219"/>
      <c r="D19" s="219"/>
      <c r="E19" s="219"/>
      <c r="F19" s="219"/>
      <c r="G19" s="401"/>
    </row>
    <row r="20" spans="1:7">
      <c r="A20" s="153" t="s">
        <v>749</v>
      </c>
      <c r="F20" s="230"/>
    </row>
    <row r="21" spans="1:7">
      <c r="B21" s="211"/>
      <c r="F21" s="230"/>
    </row>
    <row r="22" spans="1:7">
      <c r="A22" s="153" t="s">
        <v>750</v>
      </c>
      <c r="B22" s="262">
        <f>(175.6+75.3)*2</f>
        <v>501.79999999999995</v>
      </c>
      <c r="F22" s="230"/>
    </row>
    <row r="23" spans="1:7">
      <c r="A23" s="153" t="s">
        <v>751</v>
      </c>
      <c r="B23" s="263">
        <f>Zones!F17</f>
        <v>25515</v>
      </c>
      <c r="F23" s="230"/>
    </row>
    <row r="24" spans="1:7">
      <c r="A24" s="153" t="s">
        <v>752</v>
      </c>
      <c r="B24" s="262">
        <v>1</v>
      </c>
      <c r="F24" s="230"/>
    </row>
    <row r="25" spans="1:7">
      <c r="A25" s="153" t="s">
        <v>753</v>
      </c>
      <c r="B25" s="221">
        <v>18</v>
      </c>
    </row>
    <row r="26" spans="1:7">
      <c r="B26" s="221"/>
    </row>
    <row r="27" spans="1:7">
      <c r="B27" s="221"/>
    </row>
    <row r="28" spans="1:7">
      <c r="B28" s="221"/>
    </row>
    <row r="30" spans="1:7" s="171" customFormat="1" ht="13.5" hidden="1" customHeight="1">
      <c r="A30" s="171" t="s">
        <v>79</v>
      </c>
      <c r="C30" s="216"/>
      <c r="E30" s="172"/>
      <c r="F30" s="173"/>
      <c r="G30" s="174"/>
    </row>
    <row r="31" spans="1:7" hidden="1"/>
    <row r="32" spans="1:7" ht="15.95" hidden="1">
      <c r="A32" s="229"/>
    </row>
    <row r="33" spans="1:1" hidden="1">
      <c r="A33" s="154" t="s">
        <v>754</v>
      </c>
    </row>
    <row r="34" spans="1:1" hidden="1"/>
    <row r="35" spans="1:1" hidden="1"/>
    <row r="36" spans="1:1" hidden="1"/>
    <row r="37" spans="1:1" hidden="1"/>
    <row r="38" spans="1:1" hidden="1"/>
    <row r="39" spans="1:1" hidden="1"/>
    <row r="40" spans="1:1" hidden="1"/>
    <row r="41" spans="1:1" hidden="1"/>
    <row r="42" spans="1:1" hidden="1"/>
    <row r="43" spans="1:1" hidden="1"/>
    <row r="44" spans="1:1" hidden="1"/>
    <row r="45" spans="1:1" hidden="1"/>
    <row r="46" spans="1:1" hidden="1"/>
    <row r="47" spans="1:1" hidden="1"/>
    <row r="48" spans="1:1" hidden="1"/>
    <row r="49" spans="1:1" hidden="1"/>
    <row r="50" spans="1:1" hidden="1"/>
    <row r="51" spans="1:1" hidden="1"/>
    <row r="52" spans="1:1" hidden="1"/>
    <row r="53" spans="1:1" hidden="1"/>
    <row r="58" spans="1:1" hidden="1">
      <c r="A58" s="154" t="s">
        <v>755</v>
      </c>
    </row>
    <row r="59" spans="1:1" hidden="1"/>
    <row r="60" spans="1:1" hidden="1"/>
    <row r="61" spans="1:1" hidden="1"/>
    <row r="62" spans="1:1" hidden="1"/>
    <row r="63" spans="1:1" hidden="1"/>
    <row r="64" spans="1:1" hidden="1"/>
    <row r="67" spans="4:4" ht="15">
      <c r="D67" s="12"/>
    </row>
    <row r="68" spans="4:4" ht="15">
      <c r="D68" s="12"/>
    </row>
    <row r="69" spans="4:4" ht="15">
      <c r="D69" s="7"/>
    </row>
    <row r="70" spans="4:4" ht="15">
      <c r="D70" s="7"/>
    </row>
    <row r="71" spans="4:4" ht="15">
      <c r="D71" s="7"/>
    </row>
  </sheetData>
  <mergeCells count="6">
    <mergeCell ref="A16:F16"/>
    <mergeCell ref="A17:F17"/>
    <mergeCell ref="A18:F18"/>
    <mergeCell ref="A3:D3"/>
    <mergeCell ref="B11:C11"/>
    <mergeCell ref="A10:F10"/>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638C3-9269-4523-B14B-D8D22DE74C86}">
  <sheetPr>
    <tabColor rgb="FF00B050"/>
  </sheetPr>
  <dimension ref="A1:Q4"/>
  <sheetViews>
    <sheetView zoomScale="150" zoomScaleNormal="150" workbookViewId="0"/>
  </sheetViews>
  <sheetFormatPr defaultColWidth="8.85546875" defaultRowHeight="15"/>
  <sheetData>
    <row r="1" spans="1:17" s="3" customFormat="1">
      <c r="A1" s="464" t="s">
        <v>2</v>
      </c>
      <c r="B1" s="607"/>
      <c r="C1" s="608"/>
      <c r="D1" s="608"/>
      <c r="E1" s="608"/>
      <c r="F1" s="608"/>
      <c r="G1" s="608"/>
      <c r="H1" s="463"/>
      <c r="I1" s="463"/>
      <c r="J1" s="463"/>
      <c r="K1" s="463"/>
      <c r="L1" s="463"/>
      <c r="M1" s="463"/>
      <c r="N1" s="463"/>
      <c r="O1" s="463"/>
      <c r="P1" s="463"/>
      <c r="Q1" s="463"/>
    </row>
    <row r="3" spans="1:17" ht="22.7" customHeight="1">
      <c r="A3" s="504" t="str">
        <f>"PV - "&amp;Prototype!A3</f>
        <v>PV - Controlled Environment Horticulture</v>
      </c>
      <c r="B3" s="504"/>
      <c r="C3" s="504"/>
      <c r="D3" s="504"/>
      <c r="E3" s="504"/>
      <c r="F3" s="504"/>
      <c r="G3" s="504"/>
      <c r="H3" s="504"/>
      <c r="I3" s="504"/>
      <c r="J3" s="504"/>
    </row>
    <row r="4" spans="1:17">
      <c r="A4" s="153" t="s">
        <v>62</v>
      </c>
      <c r="B4" s="151"/>
      <c r="C4" s="151"/>
      <c r="D4" s="151"/>
      <c r="E4" s="151"/>
      <c r="F4" s="151"/>
      <c r="G4" s="151"/>
      <c r="H4" s="151"/>
      <c r="I4" s="151"/>
      <c r="J4" s="151"/>
    </row>
  </sheetData>
  <mergeCells count="1">
    <mergeCell ref="A3:J3"/>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65BDF-3C17-4869-B954-111AEEDC46EB}">
  <sheetPr codeName="Sheet4">
    <tabColor rgb="FF00B050"/>
  </sheetPr>
  <dimension ref="A1:Q116"/>
  <sheetViews>
    <sheetView zoomScale="150" zoomScaleNormal="150" workbookViewId="0">
      <selection activeCell="B15" sqref="B15"/>
    </sheetView>
  </sheetViews>
  <sheetFormatPr defaultColWidth="9.42578125" defaultRowHeight="12.95"/>
  <cols>
    <col min="1" max="1" width="20.42578125" style="153" customWidth="1"/>
    <col min="2" max="2" width="110.42578125" style="153" customWidth="1"/>
    <col min="3" max="3" width="67.42578125" style="158" customWidth="1"/>
    <col min="4" max="4" width="9.42578125" style="153"/>
    <col min="5" max="5" width="21.42578125" style="153" customWidth="1"/>
    <col min="6" max="6" width="10.42578125" style="153" customWidth="1"/>
    <col min="7" max="7" width="9.42578125" style="153" customWidth="1"/>
    <col min="8" max="8" width="9.42578125" style="153" bestFit="1" customWidth="1"/>
    <col min="9" max="9" width="12.42578125" style="153" customWidth="1"/>
    <col min="10" max="10" width="9.42578125" style="153"/>
    <col min="11" max="11" width="12.42578125" style="153" customWidth="1"/>
    <col min="12" max="16384" width="9.42578125" style="153"/>
  </cols>
  <sheetData>
    <row r="1" spans="1:17" s="3" customFormat="1" ht="15">
      <c r="A1" s="464" t="s">
        <v>2</v>
      </c>
      <c r="B1" s="607"/>
      <c r="C1" s="608"/>
      <c r="D1" s="608"/>
      <c r="E1" s="608"/>
      <c r="F1" s="608"/>
      <c r="G1" s="608"/>
      <c r="H1" s="463"/>
      <c r="I1" s="463"/>
      <c r="J1" s="463"/>
      <c r="K1" s="463"/>
      <c r="L1" s="463"/>
      <c r="M1" s="463"/>
      <c r="N1" s="463"/>
      <c r="O1" s="463"/>
      <c r="P1" s="463"/>
      <c r="Q1" s="463"/>
    </row>
    <row r="3" spans="1:17" ht="20.45" customHeight="1">
      <c r="A3" s="486" t="s">
        <v>6</v>
      </c>
      <c r="B3" s="486"/>
      <c r="C3" s="486"/>
    </row>
    <row r="4" spans="1:17" ht="29.1">
      <c r="A4" s="294" t="s">
        <v>81</v>
      </c>
      <c r="B4" s="205" t="s">
        <v>756</v>
      </c>
      <c r="C4" s="395"/>
      <c r="D4" s="153" t="s">
        <v>757</v>
      </c>
    </row>
    <row r="5" spans="1:17">
      <c r="A5" s="597" t="s">
        <v>758</v>
      </c>
      <c r="B5" s="201" t="s">
        <v>759</v>
      </c>
      <c r="C5" s="297"/>
      <c r="D5" s="153" t="s">
        <v>757</v>
      </c>
    </row>
    <row r="6" spans="1:17">
      <c r="A6" s="597"/>
      <c r="B6" s="201" t="s">
        <v>760</v>
      </c>
      <c r="C6" s="297"/>
      <c r="D6" s="153" t="s">
        <v>757</v>
      </c>
    </row>
    <row r="7" spans="1:17" ht="12.75" customHeight="1">
      <c r="A7" s="597" t="s">
        <v>761</v>
      </c>
      <c r="B7" s="309" t="s">
        <v>762</v>
      </c>
      <c r="C7" s="396"/>
      <c r="D7" s="153" t="s">
        <v>757</v>
      </c>
    </row>
    <row r="8" spans="1:17" ht="33" customHeight="1">
      <c r="A8" s="597"/>
      <c r="B8" s="309" t="s">
        <v>763</v>
      </c>
      <c r="C8" s="395" t="s">
        <v>764</v>
      </c>
      <c r="D8" s="153" t="s">
        <v>757</v>
      </c>
    </row>
    <row r="9" spans="1:17" ht="12.75" customHeight="1">
      <c r="A9" s="597"/>
      <c r="B9" s="201" t="s">
        <v>765</v>
      </c>
      <c r="C9" s="397" t="s">
        <v>766</v>
      </c>
      <c r="D9" s="153" t="s">
        <v>757</v>
      </c>
    </row>
    <row r="10" spans="1:17" ht="12.75" customHeight="1">
      <c r="A10" s="597"/>
      <c r="B10" s="201" t="s">
        <v>767</v>
      </c>
      <c r="C10" s="395" t="s">
        <v>768</v>
      </c>
    </row>
    <row r="11" spans="1:17" ht="12.75" customHeight="1">
      <c r="A11" s="597"/>
      <c r="B11" s="201" t="s">
        <v>769</v>
      </c>
      <c r="C11" s="395"/>
    </row>
    <row r="12" spans="1:17" ht="12.75" customHeight="1">
      <c r="A12" s="597"/>
      <c r="B12" s="205" t="s">
        <v>770</v>
      </c>
      <c r="C12" s="205" t="s">
        <v>771</v>
      </c>
      <c r="D12" s="153" t="s">
        <v>757</v>
      </c>
    </row>
    <row r="13" spans="1:17" ht="12.75" customHeight="1">
      <c r="A13" s="597"/>
      <c r="B13" s="201" t="s">
        <v>772</v>
      </c>
      <c r="C13" s="397"/>
      <c r="D13" s="153" t="s">
        <v>757</v>
      </c>
    </row>
    <row r="14" spans="1:17" ht="12.75" customHeight="1">
      <c r="A14" s="597"/>
      <c r="B14" s="201" t="s">
        <v>773</v>
      </c>
      <c r="C14" s="397"/>
      <c r="D14" s="153" t="s">
        <v>757</v>
      </c>
    </row>
    <row r="15" spans="1:17" ht="15.95">
      <c r="A15" s="201"/>
      <c r="B15" s="201" t="s">
        <v>774</v>
      </c>
      <c r="C15" s="395" t="s">
        <v>775</v>
      </c>
      <c r="D15" s="153" t="s">
        <v>757</v>
      </c>
    </row>
    <row r="16" spans="1:17" ht="18.75" customHeight="1">
      <c r="A16" s="486" t="s">
        <v>776</v>
      </c>
      <c r="B16" s="486"/>
      <c r="C16" s="486"/>
    </row>
    <row r="17" spans="1:5">
      <c r="A17" s="201" t="s">
        <v>777</v>
      </c>
      <c r="B17" s="201" t="s">
        <v>778</v>
      </c>
      <c r="C17" s="297"/>
    </row>
    <row r="18" spans="1:5">
      <c r="A18" s="201" t="s">
        <v>779</v>
      </c>
      <c r="B18" s="201" t="s">
        <v>780</v>
      </c>
      <c r="C18" s="297"/>
    </row>
    <row r="19" spans="1:5" ht="19.5" customHeight="1">
      <c r="A19" s="486" t="s">
        <v>51</v>
      </c>
      <c r="B19" s="486"/>
      <c r="C19" s="486"/>
    </row>
    <row r="20" spans="1:5" ht="34.5" customHeight="1">
      <c r="A20" s="162" t="s">
        <v>51</v>
      </c>
      <c r="B20" s="598" t="s">
        <v>781</v>
      </c>
      <c r="C20" s="598"/>
      <c r="E20" s="222"/>
    </row>
    <row r="21" spans="1:5">
      <c r="B21" s="596"/>
      <c r="C21" s="596"/>
      <c r="E21" s="222"/>
    </row>
    <row r="23" spans="1:5" ht="15">
      <c r="B23" s="218"/>
    </row>
    <row r="54" spans="1:3" hidden="1">
      <c r="B54" s="491"/>
      <c r="C54" s="491"/>
    </row>
    <row r="55" spans="1:3" hidden="1">
      <c r="A55" s="201" t="s">
        <v>782</v>
      </c>
      <c r="B55" s="205"/>
      <c r="C55" s="205"/>
    </row>
    <row r="56" spans="1:3" hidden="1">
      <c r="A56" s="206">
        <v>1967</v>
      </c>
      <c r="B56" s="203"/>
    </row>
    <row r="57" spans="1:3" hidden="1">
      <c r="A57" s="206">
        <v>1968</v>
      </c>
      <c r="B57" s="203"/>
    </row>
    <row r="58" spans="1:3" hidden="1">
      <c r="A58" s="206">
        <v>1969</v>
      </c>
      <c r="B58" s="203"/>
    </row>
    <row r="59" spans="1:3" hidden="1">
      <c r="A59" s="206">
        <v>1970</v>
      </c>
      <c r="B59" s="203"/>
    </row>
    <row r="60" spans="1:3" hidden="1">
      <c r="A60" s="206">
        <v>1971</v>
      </c>
      <c r="B60" s="203"/>
    </row>
    <row r="61" spans="1:3" hidden="1">
      <c r="A61" s="206">
        <v>1972</v>
      </c>
      <c r="B61" s="203"/>
    </row>
    <row r="62" spans="1:3" hidden="1">
      <c r="A62" s="206">
        <v>1973</v>
      </c>
      <c r="B62" s="203"/>
    </row>
    <row r="63" spans="1:3" hidden="1">
      <c r="A63" s="206">
        <v>1974</v>
      </c>
      <c r="B63" s="203"/>
    </row>
    <row r="64" spans="1:3" hidden="1">
      <c r="A64" s="206">
        <v>1975</v>
      </c>
      <c r="B64" s="203"/>
    </row>
    <row r="65" spans="1:3" hidden="1">
      <c r="A65" s="206">
        <v>1976</v>
      </c>
      <c r="B65" s="203"/>
    </row>
    <row r="66" spans="1:3" hidden="1">
      <c r="A66" s="207">
        <v>1977</v>
      </c>
      <c r="B66" s="204"/>
      <c r="C66" s="398"/>
    </row>
    <row r="67" spans="1:3" hidden="1">
      <c r="A67" s="206">
        <v>1978</v>
      </c>
      <c r="B67" s="203"/>
    </row>
    <row r="68" spans="1:3" hidden="1">
      <c r="A68" s="208">
        <v>1979</v>
      </c>
      <c r="B68" s="203"/>
    </row>
    <row r="69" spans="1:3" hidden="1">
      <c r="A69" s="208">
        <v>1980</v>
      </c>
      <c r="B69" s="203"/>
    </row>
    <row r="70" spans="1:3" hidden="1">
      <c r="A70" s="206">
        <v>1981</v>
      </c>
      <c r="B70" s="203"/>
    </row>
    <row r="71" spans="1:3" hidden="1">
      <c r="A71" s="206">
        <v>1982</v>
      </c>
      <c r="B71" s="203"/>
    </row>
    <row r="72" spans="1:3" hidden="1">
      <c r="A72" s="206">
        <v>1983</v>
      </c>
      <c r="B72" s="203"/>
    </row>
    <row r="73" spans="1:3" hidden="1">
      <c r="A73" s="206">
        <v>1984</v>
      </c>
      <c r="B73" s="203"/>
    </row>
    <row r="74" spans="1:3" hidden="1">
      <c r="A74" s="206">
        <v>1985</v>
      </c>
      <c r="B74" s="203"/>
    </row>
    <row r="75" spans="1:3" hidden="1">
      <c r="A75" s="206">
        <v>1986</v>
      </c>
      <c r="B75" s="203"/>
    </row>
    <row r="76" spans="1:3" hidden="1">
      <c r="A76" s="206">
        <v>1987</v>
      </c>
      <c r="B76" s="203"/>
    </row>
    <row r="77" spans="1:3" hidden="1">
      <c r="A77" s="206">
        <v>1988</v>
      </c>
      <c r="B77" s="203"/>
    </row>
    <row r="78" spans="1:3" hidden="1">
      <c r="A78" s="206">
        <v>1989</v>
      </c>
      <c r="B78" s="203"/>
    </row>
    <row r="79" spans="1:3" hidden="1">
      <c r="A79" s="206">
        <v>1990</v>
      </c>
      <c r="B79" s="203"/>
    </row>
    <row r="80" spans="1:3" hidden="1">
      <c r="A80" s="206">
        <v>1991</v>
      </c>
      <c r="B80" s="203"/>
    </row>
    <row r="81" spans="1:3" hidden="1">
      <c r="A81" s="206">
        <v>1992</v>
      </c>
      <c r="B81" s="203"/>
    </row>
    <row r="82" spans="1:3" hidden="1">
      <c r="A82" s="206">
        <v>1993</v>
      </c>
      <c r="B82" s="203"/>
    </row>
    <row r="83" spans="1:3" hidden="1">
      <c r="A83" s="206">
        <v>1994</v>
      </c>
      <c r="B83" s="203"/>
    </row>
    <row r="84" spans="1:3" hidden="1">
      <c r="A84" s="206">
        <v>1995</v>
      </c>
      <c r="B84" s="203"/>
    </row>
    <row r="85" spans="1:3" hidden="1">
      <c r="A85" s="206">
        <v>1996</v>
      </c>
      <c r="B85" s="203"/>
    </row>
    <row r="86" spans="1:3" hidden="1">
      <c r="A86" s="207">
        <v>1997</v>
      </c>
      <c r="B86" s="204"/>
      <c r="C86" s="398"/>
    </row>
    <row r="87" spans="1:3" hidden="1">
      <c r="A87" s="206">
        <v>1998</v>
      </c>
      <c r="B87" s="203"/>
    </row>
    <row r="88" spans="1:3" hidden="1">
      <c r="A88" s="206">
        <v>1999</v>
      </c>
      <c r="B88" s="203"/>
    </row>
    <row r="89" spans="1:3" hidden="1">
      <c r="A89" s="206">
        <v>2000</v>
      </c>
      <c r="B89" s="203"/>
    </row>
    <row r="90" spans="1:3" hidden="1">
      <c r="A90" s="206">
        <v>2001</v>
      </c>
      <c r="B90" s="203"/>
    </row>
    <row r="91" spans="1:3" hidden="1">
      <c r="A91" s="206">
        <v>2002</v>
      </c>
      <c r="B91" s="203"/>
    </row>
    <row r="92" spans="1:3" hidden="1">
      <c r="A92" s="206">
        <v>2003</v>
      </c>
      <c r="B92" s="203"/>
    </row>
    <row r="93" spans="1:3" hidden="1">
      <c r="A93" s="206">
        <v>2004</v>
      </c>
      <c r="B93" s="203"/>
    </row>
    <row r="94" spans="1:3" hidden="1">
      <c r="A94" s="206">
        <v>2005</v>
      </c>
      <c r="B94" s="203"/>
    </row>
    <row r="95" spans="1:3" hidden="1">
      <c r="A95" s="206">
        <v>2006</v>
      </c>
      <c r="B95" s="203"/>
    </row>
    <row r="96" spans="1:3" hidden="1">
      <c r="A96" s="207">
        <v>2007</v>
      </c>
      <c r="B96" s="204"/>
      <c r="C96" s="398"/>
    </row>
    <row r="97" spans="1:3" hidden="1">
      <c r="A97" s="206">
        <v>2008</v>
      </c>
      <c r="B97" s="203"/>
    </row>
    <row r="98" spans="1:3" hidden="1">
      <c r="A98" s="206">
        <v>2009</v>
      </c>
      <c r="B98" s="203"/>
    </row>
    <row r="99" spans="1:3" hidden="1">
      <c r="A99" s="206">
        <v>2010</v>
      </c>
      <c r="B99" s="203"/>
    </row>
    <row r="100" spans="1:3" hidden="1">
      <c r="A100" s="206">
        <v>2011</v>
      </c>
      <c r="B100" s="203"/>
    </row>
    <row r="101" spans="1:3" hidden="1">
      <c r="A101" s="206">
        <v>2012</v>
      </c>
      <c r="B101" s="203"/>
    </row>
    <row r="102" spans="1:3" hidden="1">
      <c r="A102" s="206">
        <v>2013</v>
      </c>
      <c r="B102" s="203"/>
    </row>
    <row r="103" spans="1:3" hidden="1">
      <c r="A103" s="206">
        <v>2014</v>
      </c>
      <c r="B103" s="203"/>
    </row>
    <row r="104" spans="1:3" hidden="1">
      <c r="A104" s="206">
        <v>2015</v>
      </c>
      <c r="B104" s="203"/>
    </row>
    <row r="105" spans="1:3" hidden="1">
      <c r="A105" s="206">
        <v>2016</v>
      </c>
      <c r="B105" s="203"/>
    </row>
    <row r="106" spans="1:3" hidden="1">
      <c r="A106" s="206">
        <v>2017</v>
      </c>
      <c r="B106" s="203"/>
    </row>
    <row r="107" spans="1:3" hidden="1">
      <c r="A107" s="207">
        <v>2018</v>
      </c>
      <c r="B107" s="204"/>
      <c r="C107" s="398"/>
    </row>
    <row r="108" spans="1:3" hidden="1">
      <c r="A108" s="206">
        <v>2019</v>
      </c>
      <c r="B108" s="203"/>
    </row>
    <row r="109" spans="1:3" hidden="1">
      <c r="A109" s="206">
        <v>2020</v>
      </c>
      <c r="B109" s="203"/>
    </row>
    <row r="110" spans="1:3" hidden="1">
      <c r="A110" s="206">
        <v>2021</v>
      </c>
      <c r="B110" s="203"/>
    </row>
    <row r="111" spans="1:3" hidden="1">
      <c r="A111" s="206">
        <v>2022</v>
      </c>
      <c r="B111" s="203"/>
    </row>
    <row r="112" spans="1:3" hidden="1">
      <c r="A112" s="207">
        <v>2023</v>
      </c>
      <c r="B112" s="204"/>
      <c r="C112" s="398"/>
    </row>
    <row r="113" spans="1:1" hidden="1"/>
    <row r="116" spans="1:1">
      <c r="A116" s="154"/>
    </row>
  </sheetData>
  <mergeCells count="8">
    <mergeCell ref="B54:C54"/>
    <mergeCell ref="A3:C3"/>
    <mergeCell ref="B21:C21"/>
    <mergeCell ref="A19:C19"/>
    <mergeCell ref="A16:C16"/>
    <mergeCell ref="A5:A6"/>
    <mergeCell ref="B20:C20"/>
    <mergeCell ref="A7:A14"/>
  </mergeCells>
  <hyperlinks>
    <hyperlink ref="C8" r:id="rId1" xr:uid="{C101F69F-EDD8-471F-98DF-28BD71BFA34E}"/>
    <hyperlink ref="C9" r:id="rId2" xr:uid="{5BC370BB-1BDD-4FB0-B79E-B506D3A772A4}"/>
    <hyperlink ref="C10" r:id="rId3" display="https://energysolutionsonline.sharepoint.com/:x:/r/teams/extranet/2028-t24/NR%20Library/Covered%20Process/CEH%20Lighting%20Controls/Previous%20Cycle%20Analysis%20(2025)/Reconciliation%20Files%20%26%20Analysis/Warehouse%20-%20ALL%20Plants/JS%20UPDATED__2.25.25__CEH%20Indoor%20Lighting.xlsx?d=wc4895b5252894213a93c70344b0c161f&amp;csf=1&amp;web=1&amp;e=St4i1R " xr:uid="{E03B7166-3A82-4863-B10F-A6F63F126417}"/>
    <hyperlink ref="C15" r:id="rId4" xr:uid="{7DE15479-7EBD-4517-82F1-8F404DFC3534}"/>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DD0DB-5976-4B16-A2D1-5C67F7144236}">
  <sheetPr codeName="Sheet23"/>
  <dimension ref="B2:Y50"/>
  <sheetViews>
    <sheetView workbookViewId="0"/>
  </sheetViews>
  <sheetFormatPr defaultColWidth="8.85546875" defaultRowHeight="15"/>
  <cols>
    <col min="3" max="3" width="14.42578125" customWidth="1"/>
    <col min="4" max="4" width="12.42578125" customWidth="1"/>
    <col min="5" max="5" width="13.42578125" customWidth="1"/>
    <col min="6" max="6" width="12.42578125" customWidth="1"/>
  </cols>
  <sheetData>
    <row r="2" spans="2:23" ht="18.95">
      <c r="B2" s="25"/>
      <c r="C2" s="25"/>
      <c r="D2" s="25"/>
      <c r="E2" s="25"/>
      <c r="F2" s="25"/>
      <c r="G2" s="25"/>
      <c r="H2" s="26" t="s">
        <v>783</v>
      </c>
      <c r="I2" s="27"/>
      <c r="J2" s="27"/>
      <c r="K2" s="27"/>
      <c r="L2" s="27"/>
      <c r="M2" s="27"/>
      <c r="N2" s="27"/>
      <c r="O2" s="27"/>
      <c r="P2" s="27"/>
      <c r="Q2" s="27"/>
      <c r="R2" s="27"/>
      <c r="S2" s="27"/>
      <c r="T2" s="27"/>
      <c r="U2" s="27"/>
      <c r="V2" s="27"/>
      <c r="W2" s="27"/>
    </row>
    <row r="3" spans="2:23">
      <c r="B3" s="25"/>
      <c r="C3" s="25"/>
      <c r="D3" s="25"/>
      <c r="E3" s="25"/>
      <c r="F3" s="25"/>
      <c r="G3" s="25"/>
      <c r="H3" s="25"/>
      <c r="I3" s="25"/>
      <c r="J3" s="25"/>
      <c r="K3" s="28" t="s">
        <v>784</v>
      </c>
      <c r="L3" s="25"/>
      <c r="M3" s="25"/>
      <c r="N3" s="25"/>
      <c r="O3" s="25"/>
      <c r="P3" s="25"/>
      <c r="Q3" s="25"/>
      <c r="R3" s="25"/>
      <c r="S3" s="25"/>
      <c r="T3" s="25"/>
      <c r="U3" s="25"/>
      <c r="V3" s="25"/>
      <c r="W3" s="25"/>
    </row>
    <row r="4" spans="2:23" ht="15.95">
      <c r="B4" s="25"/>
      <c r="C4" s="599" t="s">
        <v>785</v>
      </c>
      <c r="D4" s="600"/>
      <c r="E4" s="600"/>
      <c r="F4" s="600"/>
      <c r="G4" s="600"/>
      <c r="H4" s="600"/>
      <c r="I4" s="600"/>
      <c r="J4" s="600"/>
      <c r="K4" s="600"/>
      <c r="L4" s="600"/>
      <c r="M4" s="600"/>
      <c r="N4" s="600"/>
      <c r="O4" s="600"/>
      <c r="P4" s="600"/>
      <c r="Q4" s="600"/>
      <c r="R4" s="600"/>
      <c r="S4" s="600"/>
      <c r="T4" s="600"/>
      <c r="U4" s="600"/>
      <c r="V4" s="600"/>
      <c r="W4" s="601"/>
    </row>
    <row r="5" spans="2:23">
      <c r="B5" s="25"/>
      <c r="C5" s="29">
        <v>0</v>
      </c>
      <c r="D5" s="29">
        <v>1</v>
      </c>
      <c r="E5" s="29">
        <v>2</v>
      </c>
      <c r="F5" s="29">
        <v>3</v>
      </c>
      <c r="G5" s="29">
        <v>4</v>
      </c>
      <c r="H5" s="29">
        <v>5</v>
      </c>
      <c r="I5" s="29">
        <v>6</v>
      </c>
      <c r="J5" s="29">
        <v>7</v>
      </c>
      <c r="K5" s="29">
        <v>8</v>
      </c>
      <c r="L5" s="29">
        <v>9</v>
      </c>
      <c r="M5" s="29">
        <v>10</v>
      </c>
      <c r="N5" s="29">
        <v>11</v>
      </c>
      <c r="O5" s="29">
        <v>12</v>
      </c>
      <c r="P5" s="29">
        <v>13</v>
      </c>
      <c r="Q5" s="29">
        <v>14</v>
      </c>
      <c r="R5" s="29">
        <v>15</v>
      </c>
      <c r="S5" s="29">
        <v>16</v>
      </c>
      <c r="T5" s="29">
        <v>17</v>
      </c>
      <c r="U5" s="29">
        <v>18</v>
      </c>
      <c r="V5" s="29">
        <v>19</v>
      </c>
      <c r="W5" s="29">
        <v>20</v>
      </c>
    </row>
    <row r="6" spans="2:23">
      <c r="B6" s="30">
        <v>1</v>
      </c>
      <c r="C6" s="31">
        <v>0.17899006944895177</v>
      </c>
      <c r="D6" s="32">
        <v>0</v>
      </c>
      <c r="E6" s="32">
        <v>0.13511428796260186</v>
      </c>
      <c r="F6" s="32">
        <v>0</v>
      </c>
      <c r="G6" s="32">
        <v>0</v>
      </c>
      <c r="H6" s="32">
        <v>0</v>
      </c>
      <c r="I6" s="32">
        <v>0</v>
      </c>
      <c r="J6" s="32">
        <v>0</v>
      </c>
      <c r="K6" s="32">
        <v>0</v>
      </c>
      <c r="L6" s="32">
        <v>0</v>
      </c>
      <c r="M6" s="32">
        <v>0</v>
      </c>
      <c r="N6" s="32">
        <v>0</v>
      </c>
      <c r="O6" s="32">
        <v>0</v>
      </c>
      <c r="P6" s="32">
        <v>0</v>
      </c>
      <c r="Q6" s="32">
        <v>0</v>
      </c>
      <c r="R6" s="32">
        <v>0</v>
      </c>
      <c r="S6" s="32">
        <v>0</v>
      </c>
      <c r="T6" s="32">
        <v>0</v>
      </c>
      <c r="U6" s="32">
        <v>0</v>
      </c>
      <c r="V6" s="32">
        <v>0</v>
      </c>
      <c r="W6" s="33">
        <v>0</v>
      </c>
    </row>
    <row r="7" spans="2:23">
      <c r="B7" s="34">
        <v>2</v>
      </c>
      <c r="C7" s="35">
        <v>0</v>
      </c>
      <c r="D7" s="36">
        <v>0</v>
      </c>
      <c r="E7" s="36">
        <v>0.80198042062536046</v>
      </c>
      <c r="F7" s="36">
        <v>0</v>
      </c>
      <c r="G7" s="36">
        <v>0</v>
      </c>
      <c r="H7" s="36">
        <v>0</v>
      </c>
      <c r="I7" s="36">
        <v>0</v>
      </c>
      <c r="J7" s="36">
        <v>0</v>
      </c>
      <c r="K7" s="36">
        <v>0</v>
      </c>
      <c r="L7" s="36">
        <v>0</v>
      </c>
      <c r="M7" s="36">
        <v>0</v>
      </c>
      <c r="N7" s="36">
        <v>0</v>
      </c>
      <c r="O7" s="36">
        <v>0</v>
      </c>
      <c r="P7" s="36">
        <v>0</v>
      </c>
      <c r="Q7" s="36">
        <v>0</v>
      </c>
      <c r="R7" s="36">
        <v>1.9389534529224541E-3</v>
      </c>
      <c r="S7" s="36">
        <v>0</v>
      </c>
      <c r="T7" s="36">
        <v>0</v>
      </c>
      <c r="U7" s="36">
        <v>0</v>
      </c>
      <c r="V7" s="36">
        <v>0</v>
      </c>
      <c r="W7" s="37">
        <v>0</v>
      </c>
    </row>
    <row r="8" spans="2:23">
      <c r="B8" s="34">
        <v>3</v>
      </c>
      <c r="C8" s="35">
        <v>0</v>
      </c>
      <c r="D8" s="36">
        <v>0.52433662545249371</v>
      </c>
      <c r="E8" s="36">
        <v>6.2849948245491907E-2</v>
      </c>
      <c r="F8" s="36">
        <v>0</v>
      </c>
      <c r="G8" s="36">
        <v>3.6382221192680336E-2</v>
      </c>
      <c r="H8" s="36">
        <v>0</v>
      </c>
      <c r="I8" s="36">
        <v>0.52262253327251829</v>
      </c>
      <c r="J8" s="36">
        <v>0</v>
      </c>
      <c r="K8" s="36">
        <v>0</v>
      </c>
      <c r="L8" s="36">
        <v>0</v>
      </c>
      <c r="M8" s="36">
        <v>0</v>
      </c>
      <c r="N8" s="36">
        <v>0</v>
      </c>
      <c r="O8" s="36">
        <v>0</v>
      </c>
      <c r="P8" s="36">
        <v>0</v>
      </c>
      <c r="Q8" s="36">
        <v>0</v>
      </c>
      <c r="R8" s="36">
        <v>0</v>
      </c>
      <c r="S8" s="36">
        <v>0</v>
      </c>
      <c r="T8" s="36">
        <v>0</v>
      </c>
      <c r="U8" s="36">
        <v>0</v>
      </c>
      <c r="V8" s="36">
        <v>0</v>
      </c>
      <c r="W8" s="37">
        <v>0</v>
      </c>
    </row>
    <row r="9" spans="2:23">
      <c r="B9" s="34">
        <v>4</v>
      </c>
      <c r="C9" s="35">
        <v>0</v>
      </c>
      <c r="D9" s="36">
        <v>0.30388079802974316</v>
      </c>
      <c r="E9" s="36">
        <v>0</v>
      </c>
      <c r="F9" s="36">
        <v>0</v>
      </c>
      <c r="G9" s="36">
        <v>0</v>
      </c>
      <c r="H9" s="36">
        <v>0</v>
      </c>
      <c r="I9" s="36">
        <v>0.15390859110237032</v>
      </c>
      <c r="J9" s="36">
        <v>0</v>
      </c>
      <c r="K9" s="36">
        <v>0</v>
      </c>
      <c r="L9" s="36">
        <v>0</v>
      </c>
      <c r="M9" s="36">
        <v>0</v>
      </c>
      <c r="N9" s="36">
        <v>0</v>
      </c>
      <c r="O9" s="36">
        <v>0</v>
      </c>
      <c r="P9" s="36">
        <v>0</v>
      </c>
      <c r="Q9" s="36">
        <v>0</v>
      </c>
      <c r="R9" s="36">
        <v>0</v>
      </c>
      <c r="S9" s="36">
        <v>0</v>
      </c>
      <c r="T9" s="36">
        <v>0</v>
      </c>
      <c r="U9" s="36">
        <v>0</v>
      </c>
      <c r="V9" s="36">
        <v>0</v>
      </c>
      <c r="W9" s="37">
        <v>0</v>
      </c>
    </row>
    <row r="10" spans="2:23">
      <c r="B10" s="34">
        <v>5</v>
      </c>
      <c r="C10" s="35">
        <v>0</v>
      </c>
      <c r="D10" s="36">
        <v>0</v>
      </c>
      <c r="E10" s="36">
        <v>0</v>
      </c>
      <c r="F10" s="36">
        <v>0</v>
      </c>
      <c r="G10" s="36">
        <v>0</v>
      </c>
      <c r="H10" s="36">
        <v>0</v>
      </c>
      <c r="I10" s="36">
        <v>0.32334871691752864</v>
      </c>
      <c r="J10" s="36">
        <v>0</v>
      </c>
      <c r="K10" s="36">
        <v>1.8289993011934367E-3</v>
      </c>
      <c r="L10" s="36">
        <v>0</v>
      </c>
      <c r="M10" s="36">
        <v>0</v>
      </c>
      <c r="N10" s="36">
        <v>0</v>
      </c>
      <c r="O10" s="36">
        <v>0</v>
      </c>
      <c r="P10" s="36">
        <v>0</v>
      </c>
      <c r="Q10" s="36">
        <v>0</v>
      </c>
      <c r="R10" s="36">
        <v>0</v>
      </c>
      <c r="S10" s="36">
        <v>0</v>
      </c>
      <c r="T10" s="36">
        <v>0</v>
      </c>
      <c r="U10" s="36">
        <v>0</v>
      </c>
      <c r="V10" s="36">
        <v>0</v>
      </c>
      <c r="W10" s="37">
        <v>0</v>
      </c>
    </row>
    <row r="11" spans="2:23">
      <c r="B11" s="34">
        <v>6</v>
      </c>
      <c r="C11" s="35">
        <v>0</v>
      </c>
      <c r="D11" s="36">
        <v>0</v>
      </c>
      <c r="E11" s="36">
        <v>0</v>
      </c>
      <c r="F11" s="36">
        <v>0</v>
      </c>
      <c r="G11" s="36">
        <v>0</v>
      </c>
      <c r="H11" s="36">
        <v>0</v>
      </c>
      <c r="I11" s="36">
        <v>1.2015870758275012E-4</v>
      </c>
      <c r="J11" s="36">
        <v>0.18889701400429948</v>
      </c>
      <c r="K11" s="36">
        <v>0.6118832251289279</v>
      </c>
      <c r="L11" s="36">
        <v>0</v>
      </c>
      <c r="M11" s="36">
        <v>0</v>
      </c>
      <c r="N11" s="36">
        <v>0</v>
      </c>
      <c r="O11" s="36">
        <v>6.5955188612875512E-2</v>
      </c>
      <c r="P11" s="36">
        <v>0</v>
      </c>
      <c r="Q11" s="36">
        <v>0</v>
      </c>
      <c r="R11" s="36">
        <v>0</v>
      </c>
      <c r="S11" s="36">
        <v>0.17179501618810883</v>
      </c>
      <c r="T11" s="36">
        <v>0</v>
      </c>
      <c r="U11" s="36">
        <v>0</v>
      </c>
      <c r="V11" s="36">
        <v>0</v>
      </c>
      <c r="W11" s="37">
        <v>0</v>
      </c>
    </row>
    <row r="12" spans="2:23">
      <c r="B12" s="34">
        <v>7</v>
      </c>
      <c r="C12" s="35">
        <v>0</v>
      </c>
      <c r="D12" s="36">
        <v>0</v>
      </c>
      <c r="E12" s="36">
        <v>0</v>
      </c>
      <c r="F12" s="36">
        <v>0</v>
      </c>
      <c r="G12" s="36">
        <v>0</v>
      </c>
      <c r="H12" s="36">
        <v>0</v>
      </c>
      <c r="I12" s="36">
        <v>0</v>
      </c>
      <c r="J12" s="36">
        <v>0</v>
      </c>
      <c r="K12" s="36">
        <v>0</v>
      </c>
      <c r="L12" s="36">
        <v>0</v>
      </c>
      <c r="M12" s="36">
        <v>0</v>
      </c>
      <c r="N12" s="36">
        <v>0</v>
      </c>
      <c r="O12" s="36">
        <v>0.62807745410608129</v>
      </c>
      <c r="P12" s="36">
        <v>0</v>
      </c>
      <c r="Q12" s="36">
        <v>0</v>
      </c>
      <c r="R12" s="36">
        <v>0</v>
      </c>
      <c r="S12" s="36">
        <v>0</v>
      </c>
      <c r="T12" s="36">
        <v>0</v>
      </c>
      <c r="U12" s="36">
        <v>0</v>
      </c>
      <c r="V12" s="36">
        <v>0</v>
      </c>
      <c r="W12" s="37">
        <v>0</v>
      </c>
    </row>
    <row r="13" spans="2:23">
      <c r="B13" s="34">
        <v>8</v>
      </c>
      <c r="C13" s="35">
        <v>0</v>
      </c>
      <c r="D13" s="36">
        <v>0</v>
      </c>
      <c r="E13" s="36">
        <v>0</v>
      </c>
      <c r="F13" s="36">
        <v>0</v>
      </c>
      <c r="G13" s="36">
        <v>0</v>
      </c>
      <c r="H13" s="36">
        <v>0</v>
      </c>
      <c r="I13" s="36">
        <v>0</v>
      </c>
      <c r="J13" s="36">
        <v>0.43986650235409958</v>
      </c>
      <c r="K13" s="36">
        <v>0</v>
      </c>
      <c r="L13" s="36">
        <v>0</v>
      </c>
      <c r="M13" s="36">
        <v>0</v>
      </c>
      <c r="N13" s="36">
        <v>0</v>
      </c>
      <c r="O13" s="36">
        <v>1.9380707210528328E-2</v>
      </c>
      <c r="P13" s="36">
        <v>0</v>
      </c>
      <c r="Q13" s="36">
        <v>0</v>
      </c>
      <c r="R13" s="36">
        <v>0</v>
      </c>
      <c r="S13" s="36">
        <v>0.27901486514139412</v>
      </c>
      <c r="T13" s="36">
        <v>0</v>
      </c>
      <c r="U13" s="36">
        <v>0</v>
      </c>
      <c r="V13" s="36">
        <v>0</v>
      </c>
      <c r="W13" s="37">
        <v>0</v>
      </c>
    </row>
    <row r="14" spans="2:23">
      <c r="B14" s="34">
        <v>9</v>
      </c>
      <c r="C14" s="35">
        <v>0</v>
      </c>
      <c r="D14" s="36">
        <v>0</v>
      </c>
      <c r="E14" s="36">
        <v>0</v>
      </c>
      <c r="F14" s="36">
        <v>0</v>
      </c>
      <c r="G14" s="36">
        <v>0</v>
      </c>
      <c r="H14" s="36">
        <v>0</v>
      </c>
      <c r="I14" s="36">
        <v>0</v>
      </c>
      <c r="J14" s="36">
        <v>0.32290734731979331</v>
      </c>
      <c r="K14" s="36">
        <v>0.37218281404327919</v>
      </c>
      <c r="L14" s="36">
        <v>0</v>
      </c>
      <c r="M14" s="36">
        <v>0</v>
      </c>
      <c r="N14" s="36">
        <v>0</v>
      </c>
      <c r="O14" s="36">
        <v>0</v>
      </c>
      <c r="P14" s="36">
        <v>0</v>
      </c>
      <c r="Q14" s="36">
        <v>0</v>
      </c>
      <c r="R14" s="36">
        <v>0</v>
      </c>
      <c r="S14" s="36">
        <v>0.54919011867049705</v>
      </c>
      <c r="T14" s="36">
        <v>0.9935409013613431</v>
      </c>
      <c r="U14" s="36">
        <v>1</v>
      </c>
      <c r="V14" s="36">
        <v>0</v>
      </c>
      <c r="W14" s="37">
        <v>0</v>
      </c>
    </row>
    <row r="15" spans="2:23">
      <c r="B15" s="34">
        <v>10</v>
      </c>
      <c r="C15" s="35">
        <v>0</v>
      </c>
      <c r="D15" s="36">
        <v>0</v>
      </c>
      <c r="E15" s="36">
        <v>0</v>
      </c>
      <c r="F15" s="36">
        <v>0</v>
      </c>
      <c r="G15" s="36">
        <v>0</v>
      </c>
      <c r="H15" s="36">
        <v>0</v>
      </c>
      <c r="I15" s="36">
        <v>0</v>
      </c>
      <c r="J15" s="36">
        <v>0</v>
      </c>
      <c r="K15" s="36">
        <v>0</v>
      </c>
      <c r="L15" s="36">
        <v>0</v>
      </c>
      <c r="M15" s="36">
        <v>0.71185658771154592</v>
      </c>
      <c r="N15" s="36">
        <v>0.86109418831996831</v>
      </c>
      <c r="O15" s="36">
        <v>0.27880083521851912</v>
      </c>
      <c r="P15" s="36">
        <v>0</v>
      </c>
      <c r="Q15" s="36">
        <v>0</v>
      </c>
      <c r="R15" s="36">
        <v>0</v>
      </c>
      <c r="S15" s="36">
        <v>0</v>
      </c>
      <c r="T15" s="36">
        <v>0</v>
      </c>
      <c r="U15" s="36">
        <v>0</v>
      </c>
      <c r="V15" s="36">
        <v>0</v>
      </c>
      <c r="W15" s="37">
        <v>0</v>
      </c>
    </row>
    <row r="16" spans="2:23">
      <c r="B16" s="34">
        <v>11</v>
      </c>
      <c r="C16" s="35">
        <v>4.2188615564353864E-3</v>
      </c>
      <c r="D16" s="36">
        <v>0</v>
      </c>
      <c r="E16" s="36">
        <v>0</v>
      </c>
      <c r="F16" s="36">
        <v>0.8477232553525369</v>
      </c>
      <c r="G16" s="36">
        <v>0.22071573249865109</v>
      </c>
      <c r="H16" s="36">
        <v>0</v>
      </c>
      <c r="I16" s="36">
        <v>0</v>
      </c>
      <c r="J16" s="36">
        <v>0</v>
      </c>
      <c r="K16" s="36">
        <v>0</v>
      </c>
      <c r="L16" s="36">
        <v>0</v>
      </c>
      <c r="M16" s="36">
        <v>0</v>
      </c>
      <c r="N16" s="36">
        <v>0</v>
      </c>
      <c r="O16" s="36">
        <v>0</v>
      </c>
      <c r="P16" s="36">
        <v>4.2090228290987712E-3</v>
      </c>
      <c r="Q16" s="36">
        <v>0</v>
      </c>
      <c r="R16" s="36">
        <v>0.44545524757224331</v>
      </c>
      <c r="S16" s="36">
        <v>0</v>
      </c>
      <c r="T16" s="36">
        <v>0</v>
      </c>
      <c r="U16" s="36">
        <v>0</v>
      </c>
      <c r="V16" s="36">
        <v>0</v>
      </c>
      <c r="W16" s="37">
        <v>0</v>
      </c>
    </row>
    <row r="17" spans="2:25">
      <c r="B17" s="34">
        <v>12</v>
      </c>
      <c r="C17" s="35">
        <v>0</v>
      </c>
      <c r="D17" s="36">
        <v>0.17178257651776313</v>
      </c>
      <c r="E17" s="36">
        <v>0</v>
      </c>
      <c r="F17" s="36">
        <v>0</v>
      </c>
      <c r="G17" s="36">
        <v>0.72605585327521449</v>
      </c>
      <c r="H17" s="36">
        <v>4.5546782894501807E-2</v>
      </c>
      <c r="I17" s="36">
        <v>0</v>
      </c>
      <c r="J17" s="36">
        <v>0</v>
      </c>
      <c r="K17" s="36">
        <v>0</v>
      </c>
      <c r="L17" s="36">
        <v>0</v>
      </c>
      <c r="M17" s="36">
        <v>0</v>
      </c>
      <c r="N17" s="36">
        <v>0</v>
      </c>
      <c r="O17" s="36">
        <v>0</v>
      </c>
      <c r="P17" s="36">
        <v>0.99579097717090126</v>
      </c>
      <c r="Q17" s="36">
        <v>1</v>
      </c>
      <c r="R17" s="36">
        <v>0.52652748476681743</v>
      </c>
      <c r="S17" s="36">
        <v>0</v>
      </c>
      <c r="T17" s="36">
        <v>0</v>
      </c>
      <c r="U17" s="36">
        <v>0</v>
      </c>
      <c r="V17" s="36">
        <v>0</v>
      </c>
      <c r="W17" s="37">
        <v>0</v>
      </c>
    </row>
    <row r="18" spans="2:25">
      <c r="B18" s="34">
        <v>13</v>
      </c>
      <c r="C18" s="35">
        <v>0</v>
      </c>
      <c r="D18" s="36">
        <v>0</v>
      </c>
      <c r="E18" s="36">
        <v>0</v>
      </c>
      <c r="F18" s="36">
        <v>0</v>
      </c>
      <c r="G18" s="36">
        <v>0</v>
      </c>
      <c r="H18" s="36">
        <v>0.94805830445500339</v>
      </c>
      <c r="I18" s="36">
        <v>0</v>
      </c>
      <c r="J18" s="36">
        <v>0</v>
      </c>
      <c r="K18" s="36">
        <v>0</v>
      </c>
      <c r="L18" s="36">
        <v>0.78487009632062588</v>
      </c>
      <c r="M18" s="36">
        <v>0</v>
      </c>
      <c r="N18" s="36">
        <v>0</v>
      </c>
      <c r="O18" s="36">
        <v>0</v>
      </c>
      <c r="P18" s="36">
        <v>0</v>
      </c>
      <c r="Q18" s="36">
        <v>0</v>
      </c>
      <c r="R18" s="36">
        <v>0</v>
      </c>
      <c r="S18" s="36">
        <v>0</v>
      </c>
      <c r="T18" s="36">
        <v>0</v>
      </c>
      <c r="U18" s="36">
        <v>0</v>
      </c>
      <c r="V18" s="36">
        <v>0</v>
      </c>
      <c r="W18" s="37">
        <v>0</v>
      </c>
    </row>
    <row r="19" spans="2:25">
      <c r="B19" s="34">
        <v>14</v>
      </c>
      <c r="C19" s="35">
        <v>1.298111248133965E-5</v>
      </c>
      <c r="D19" s="36">
        <v>0</v>
      </c>
      <c r="E19" s="36">
        <v>0</v>
      </c>
      <c r="F19" s="36">
        <v>0</v>
      </c>
      <c r="G19" s="36">
        <v>0</v>
      </c>
      <c r="H19" s="36">
        <v>0</v>
      </c>
      <c r="I19" s="36">
        <v>0</v>
      </c>
      <c r="J19" s="36">
        <v>4.5059540414213541E-2</v>
      </c>
      <c r="K19" s="36">
        <v>0</v>
      </c>
      <c r="L19" s="36">
        <v>0.1210189319850906</v>
      </c>
      <c r="M19" s="36">
        <v>0.24169250378442073</v>
      </c>
      <c r="N19" s="36">
        <v>2.5299853868044056E-6</v>
      </c>
      <c r="O19" s="36">
        <v>6.622563637424638E-3</v>
      </c>
      <c r="P19" s="36">
        <v>0</v>
      </c>
      <c r="Q19" s="36">
        <v>0</v>
      </c>
      <c r="R19" s="36">
        <v>0</v>
      </c>
      <c r="S19" s="36">
        <v>0</v>
      </c>
      <c r="T19" s="36">
        <v>0</v>
      </c>
      <c r="U19" s="36">
        <v>0</v>
      </c>
      <c r="V19" s="36">
        <v>2.4220124862473494E-4</v>
      </c>
      <c r="W19" s="37">
        <v>0</v>
      </c>
    </row>
    <row r="20" spans="2:25">
      <c r="B20" s="34">
        <v>15</v>
      </c>
      <c r="C20" s="35">
        <v>3.1823197248004156E-2</v>
      </c>
      <c r="D20" s="36">
        <v>0</v>
      </c>
      <c r="E20" s="36">
        <v>0</v>
      </c>
      <c r="F20" s="36">
        <v>0</v>
      </c>
      <c r="G20" s="36">
        <v>0</v>
      </c>
      <c r="H20" s="36">
        <v>0</v>
      </c>
      <c r="I20" s="36">
        <v>0</v>
      </c>
      <c r="J20" s="36">
        <v>0</v>
      </c>
      <c r="K20" s="36">
        <v>0</v>
      </c>
      <c r="L20" s="36">
        <v>0</v>
      </c>
      <c r="M20" s="36">
        <v>9.5716434351359521E-4</v>
      </c>
      <c r="N20" s="36">
        <v>0.13334844577937718</v>
      </c>
      <c r="O20" s="36">
        <v>1.1632512145711212E-3</v>
      </c>
      <c r="P20" s="36">
        <v>0</v>
      </c>
      <c r="Q20" s="36">
        <v>0</v>
      </c>
      <c r="R20" s="36">
        <v>0</v>
      </c>
      <c r="S20" s="36">
        <v>0</v>
      </c>
      <c r="T20" s="36">
        <v>0</v>
      </c>
      <c r="U20" s="36">
        <v>0</v>
      </c>
      <c r="V20" s="36">
        <v>0.99975779875137527</v>
      </c>
      <c r="W20" s="37">
        <v>0</v>
      </c>
    </row>
    <row r="21" spans="2:25">
      <c r="B21" s="38">
        <v>16</v>
      </c>
      <c r="C21" s="39">
        <v>0.78495489063412738</v>
      </c>
      <c r="D21" s="40">
        <v>0</v>
      </c>
      <c r="E21" s="40">
        <v>5.5343166545747613E-5</v>
      </c>
      <c r="F21" s="40">
        <v>0.15227674464746307</v>
      </c>
      <c r="G21" s="40">
        <v>1.6846193033454148E-2</v>
      </c>
      <c r="H21" s="40">
        <v>6.3949126504948021E-3</v>
      </c>
      <c r="I21" s="40">
        <v>0</v>
      </c>
      <c r="J21" s="40">
        <v>3.269595907594073E-3</v>
      </c>
      <c r="K21" s="40">
        <v>1.4104961526599544E-2</v>
      </c>
      <c r="L21" s="40">
        <v>9.4110971694283493E-2</v>
      </c>
      <c r="M21" s="40">
        <v>4.5493744160519718E-2</v>
      </c>
      <c r="N21" s="40">
        <v>5.5548359152677532E-3</v>
      </c>
      <c r="O21" s="40">
        <v>0</v>
      </c>
      <c r="P21" s="40">
        <v>0</v>
      </c>
      <c r="Q21" s="40">
        <v>0</v>
      </c>
      <c r="R21" s="40">
        <v>2.6078314208016779E-2</v>
      </c>
      <c r="S21" s="40">
        <v>0</v>
      </c>
      <c r="T21" s="40">
        <v>6.4590986386568834E-3</v>
      </c>
      <c r="U21" s="40">
        <v>0</v>
      </c>
      <c r="V21" s="40">
        <v>0</v>
      </c>
      <c r="W21" s="41">
        <v>1</v>
      </c>
    </row>
    <row r="22" spans="2:25">
      <c r="B22" s="42" t="s">
        <v>384</v>
      </c>
      <c r="C22" s="43">
        <v>1</v>
      </c>
      <c r="D22" s="43">
        <v>1</v>
      </c>
      <c r="E22" s="43">
        <v>1</v>
      </c>
      <c r="F22" s="43">
        <v>1</v>
      </c>
      <c r="G22" s="43">
        <v>1</v>
      </c>
      <c r="H22" s="43">
        <v>1</v>
      </c>
      <c r="I22" s="43">
        <v>1</v>
      </c>
      <c r="J22" s="43">
        <v>1</v>
      </c>
      <c r="K22" s="43">
        <v>1</v>
      </c>
      <c r="L22" s="43">
        <v>1</v>
      </c>
      <c r="M22" s="43">
        <v>1</v>
      </c>
      <c r="N22" s="43">
        <v>1</v>
      </c>
      <c r="O22" s="43">
        <v>1</v>
      </c>
      <c r="P22" s="43">
        <v>1</v>
      </c>
      <c r="Q22" s="43">
        <v>1</v>
      </c>
      <c r="R22" s="43">
        <v>1</v>
      </c>
      <c r="S22" s="43">
        <v>1</v>
      </c>
      <c r="T22" s="43">
        <v>1</v>
      </c>
      <c r="U22" s="43">
        <v>1</v>
      </c>
      <c r="V22" s="43">
        <v>1</v>
      </c>
      <c r="W22" s="43">
        <v>1</v>
      </c>
    </row>
    <row r="25" spans="2:25">
      <c r="B25" t="s">
        <v>786</v>
      </c>
      <c r="C25" s="218" t="s">
        <v>787</v>
      </c>
    </row>
    <row r="26" spans="2:25">
      <c r="O26" t="s">
        <v>788</v>
      </c>
    </row>
    <row r="27" spans="2:25">
      <c r="M27" t="s">
        <v>757</v>
      </c>
    </row>
    <row r="28" spans="2:25" ht="33" customHeight="1">
      <c r="B28" s="602" t="s">
        <v>789</v>
      </c>
      <c r="C28" s="602"/>
      <c r="D28" s="602"/>
      <c r="E28" s="602"/>
      <c r="F28" s="602"/>
      <c r="H28" s="51"/>
      <c r="I28" s="603" t="s">
        <v>790</v>
      </c>
      <c r="J28" s="603"/>
      <c r="K28" s="603"/>
      <c r="L28" s="603"/>
      <c r="M28" s="603"/>
      <c r="N28" s="603"/>
      <c r="O28" s="603"/>
      <c r="P28" s="603"/>
      <c r="Q28" s="603"/>
      <c r="R28" s="603"/>
      <c r="S28" s="603"/>
      <c r="T28" s="603"/>
      <c r="U28" s="603"/>
      <c r="V28" s="603"/>
      <c r="W28" s="603"/>
      <c r="X28" s="603"/>
    </row>
    <row r="29" spans="2:25">
      <c r="C29" t="s">
        <v>791</v>
      </c>
      <c r="E29" s="7"/>
      <c r="F29" s="7" t="s">
        <v>792</v>
      </c>
      <c r="H29" s="25" t="s">
        <v>793</v>
      </c>
      <c r="I29" s="30">
        <v>1</v>
      </c>
      <c r="J29" s="34">
        <v>2</v>
      </c>
      <c r="K29" s="34">
        <v>3</v>
      </c>
      <c r="L29" s="34">
        <v>4</v>
      </c>
      <c r="M29" s="34">
        <v>5</v>
      </c>
      <c r="N29" s="34">
        <v>6</v>
      </c>
      <c r="O29" s="34">
        <v>7</v>
      </c>
      <c r="P29" s="34">
        <v>8</v>
      </c>
      <c r="Q29" s="79">
        <v>9</v>
      </c>
      <c r="R29" s="34">
        <v>10</v>
      </c>
      <c r="S29" s="34">
        <v>11</v>
      </c>
      <c r="T29" s="34">
        <v>12</v>
      </c>
      <c r="U29" s="34">
        <v>13</v>
      </c>
      <c r="V29" s="79">
        <v>14</v>
      </c>
      <c r="W29" s="34">
        <v>15</v>
      </c>
      <c r="X29" s="38">
        <v>16</v>
      </c>
      <c r="Y29" s="45"/>
    </row>
    <row r="30" spans="2:25">
      <c r="B30" t="s">
        <v>210</v>
      </c>
      <c r="C30" s="49">
        <v>119595.577569407</v>
      </c>
      <c r="E30" s="7" t="s">
        <v>209</v>
      </c>
      <c r="F30" s="50">
        <f>F45</f>
        <v>43153.105531319401</v>
      </c>
      <c r="G30" s="47">
        <f>F30/SUM($F$30:$F$50)</f>
        <v>4.5782422744358189E-2</v>
      </c>
      <c r="H30" s="29">
        <v>0</v>
      </c>
      <c r="I30" s="31">
        <v>0.17899006944895177</v>
      </c>
      <c r="J30" s="35">
        <v>0</v>
      </c>
      <c r="K30" s="35">
        <v>0</v>
      </c>
      <c r="L30" s="35">
        <v>0</v>
      </c>
      <c r="M30" s="35">
        <v>0</v>
      </c>
      <c r="N30" s="35">
        <v>0</v>
      </c>
      <c r="O30" s="35">
        <v>0</v>
      </c>
      <c r="P30" s="35">
        <v>0</v>
      </c>
      <c r="Q30" s="80">
        <v>0</v>
      </c>
      <c r="R30" s="35">
        <v>0</v>
      </c>
      <c r="S30" s="35">
        <v>4.2188615564353864E-3</v>
      </c>
      <c r="T30" s="35">
        <v>0</v>
      </c>
      <c r="U30" s="35">
        <v>0</v>
      </c>
      <c r="V30" s="80">
        <v>1.298111248133965E-5</v>
      </c>
      <c r="W30" s="35">
        <v>3.1823197248004156E-2</v>
      </c>
      <c r="X30" s="39">
        <v>0.78495489063412738</v>
      </c>
      <c r="Y30" s="46">
        <f t="shared" ref="Y30:Y50" si="0">SUM(I30:X30)</f>
        <v>1</v>
      </c>
    </row>
    <row r="31" spans="2:25">
      <c r="B31" t="s">
        <v>211</v>
      </c>
      <c r="C31" s="49">
        <v>33616.997018630398</v>
      </c>
      <c r="E31" s="6" t="s">
        <v>210</v>
      </c>
      <c r="F31" s="50">
        <f t="shared" ref="F31:F41" si="1">C30</f>
        <v>119595.577569407</v>
      </c>
      <c r="G31" s="47">
        <f t="shared" ref="G31:G50" si="2">F31/SUM($F$30:$F$50)</f>
        <v>0.12688253193421709</v>
      </c>
      <c r="H31" s="29">
        <v>1</v>
      </c>
      <c r="I31" s="32">
        <v>0</v>
      </c>
      <c r="J31" s="36">
        <v>0</v>
      </c>
      <c r="K31" s="36">
        <v>0.52433662545249371</v>
      </c>
      <c r="L31" s="36">
        <v>0.30388079802974316</v>
      </c>
      <c r="M31" s="36">
        <v>0</v>
      </c>
      <c r="N31" s="36">
        <v>0</v>
      </c>
      <c r="O31" s="36">
        <v>0</v>
      </c>
      <c r="P31" s="36">
        <v>0</v>
      </c>
      <c r="Q31" s="81">
        <v>0</v>
      </c>
      <c r="R31" s="36">
        <v>0</v>
      </c>
      <c r="S31" s="36">
        <v>0</v>
      </c>
      <c r="T31" s="36">
        <v>0.17178257651776313</v>
      </c>
      <c r="U31" s="36">
        <v>0</v>
      </c>
      <c r="V31" s="81">
        <v>0</v>
      </c>
      <c r="W31" s="36">
        <v>0</v>
      </c>
      <c r="X31" s="40">
        <v>0</v>
      </c>
      <c r="Y31" s="46">
        <f t="shared" si="0"/>
        <v>1</v>
      </c>
    </row>
    <row r="32" spans="2:25">
      <c r="B32" t="s">
        <v>212</v>
      </c>
      <c r="C32" s="49">
        <v>9405.1639436092391</v>
      </c>
      <c r="E32" s="6" t="s">
        <v>211</v>
      </c>
      <c r="F32" s="50">
        <f t="shared" si="1"/>
        <v>33616.997018630398</v>
      </c>
      <c r="G32" s="47">
        <f t="shared" si="2"/>
        <v>3.5665279473009202E-2</v>
      </c>
      <c r="H32" s="29">
        <v>2</v>
      </c>
      <c r="I32" s="32">
        <v>0.13511428796260186</v>
      </c>
      <c r="J32" s="36">
        <v>0.80198042062536046</v>
      </c>
      <c r="K32" s="36">
        <v>6.2849948245491907E-2</v>
      </c>
      <c r="L32" s="36">
        <v>0</v>
      </c>
      <c r="M32" s="36">
        <v>0</v>
      </c>
      <c r="N32" s="36">
        <v>0</v>
      </c>
      <c r="O32" s="36">
        <v>0</v>
      </c>
      <c r="P32" s="36">
        <v>0</v>
      </c>
      <c r="Q32" s="81">
        <v>0</v>
      </c>
      <c r="R32" s="36">
        <v>0</v>
      </c>
      <c r="S32" s="36">
        <v>0</v>
      </c>
      <c r="T32" s="36">
        <v>0</v>
      </c>
      <c r="U32" s="36">
        <v>0</v>
      </c>
      <c r="V32" s="81">
        <v>0</v>
      </c>
      <c r="W32" s="36">
        <v>0</v>
      </c>
      <c r="X32" s="40">
        <v>5.5343166545747613E-5</v>
      </c>
      <c r="Y32" s="46">
        <f t="shared" si="0"/>
        <v>1</v>
      </c>
    </row>
    <row r="33" spans="2:25">
      <c r="B33" t="s">
        <v>213</v>
      </c>
      <c r="C33" s="49">
        <v>45237.817363033399</v>
      </c>
      <c r="E33" s="6" t="s">
        <v>212</v>
      </c>
      <c r="F33" s="50">
        <f t="shared" si="1"/>
        <v>9405.1639436092391</v>
      </c>
      <c r="G33" s="47">
        <f t="shared" si="2"/>
        <v>9.9782202542480127E-3</v>
      </c>
      <c r="H33" s="29">
        <v>3</v>
      </c>
      <c r="I33" s="32">
        <v>0</v>
      </c>
      <c r="J33" s="36">
        <v>0</v>
      </c>
      <c r="K33" s="36">
        <v>0</v>
      </c>
      <c r="L33" s="36">
        <v>0</v>
      </c>
      <c r="M33" s="36">
        <v>0</v>
      </c>
      <c r="N33" s="36">
        <v>0</v>
      </c>
      <c r="O33" s="36">
        <v>0</v>
      </c>
      <c r="P33" s="36">
        <v>0</v>
      </c>
      <c r="Q33" s="81">
        <v>0</v>
      </c>
      <c r="R33" s="36">
        <v>0</v>
      </c>
      <c r="S33" s="36">
        <v>0.8477232553525369</v>
      </c>
      <c r="T33" s="36">
        <v>0</v>
      </c>
      <c r="U33" s="36">
        <v>0</v>
      </c>
      <c r="V33" s="81">
        <v>0</v>
      </c>
      <c r="W33" s="36">
        <v>0</v>
      </c>
      <c r="X33" s="40">
        <v>0.15227674464746307</v>
      </c>
      <c r="Y33" s="46">
        <f t="shared" si="0"/>
        <v>1</v>
      </c>
    </row>
    <row r="34" spans="2:25">
      <c r="B34" t="s">
        <v>214</v>
      </c>
      <c r="C34" s="49">
        <v>43153.105531319401</v>
      </c>
      <c r="E34" s="6" t="s">
        <v>213</v>
      </c>
      <c r="F34" s="50">
        <f t="shared" si="1"/>
        <v>45237.817363033399</v>
      </c>
      <c r="G34" s="47">
        <f t="shared" si="2"/>
        <v>4.7994155995176611E-2</v>
      </c>
      <c r="H34" s="29">
        <v>4</v>
      </c>
      <c r="I34" s="32">
        <v>0</v>
      </c>
      <c r="J34" s="36">
        <v>0</v>
      </c>
      <c r="K34" s="36">
        <v>3.6382221192680336E-2</v>
      </c>
      <c r="L34" s="36">
        <v>0</v>
      </c>
      <c r="M34" s="36">
        <v>0</v>
      </c>
      <c r="N34" s="36">
        <v>0</v>
      </c>
      <c r="O34" s="36">
        <v>0</v>
      </c>
      <c r="P34" s="36">
        <v>0</v>
      </c>
      <c r="Q34" s="81">
        <v>0</v>
      </c>
      <c r="R34" s="36">
        <v>0</v>
      </c>
      <c r="S34" s="36">
        <v>0.22071573249865109</v>
      </c>
      <c r="T34" s="36">
        <v>0.72605585327521449</v>
      </c>
      <c r="U34" s="36">
        <v>0</v>
      </c>
      <c r="V34" s="81">
        <v>0</v>
      </c>
      <c r="W34" s="36">
        <v>0</v>
      </c>
      <c r="X34" s="40">
        <v>1.6846193033454148E-2</v>
      </c>
      <c r="Y34" s="46">
        <f t="shared" si="0"/>
        <v>1.0000000000000002</v>
      </c>
    </row>
    <row r="35" spans="2:25">
      <c r="B35" t="s">
        <v>215</v>
      </c>
      <c r="C35" s="49">
        <v>34954.8250034964</v>
      </c>
      <c r="E35" s="6" t="s">
        <v>214</v>
      </c>
      <c r="F35" s="50">
        <f t="shared" si="1"/>
        <v>43153.105531319401</v>
      </c>
      <c r="G35" s="47">
        <f t="shared" si="2"/>
        <v>4.5782422744358189E-2</v>
      </c>
      <c r="H35" s="29">
        <v>5</v>
      </c>
      <c r="I35" s="32">
        <v>0</v>
      </c>
      <c r="J35" s="36">
        <v>0</v>
      </c>
      <c r="K35" s="36">
        <v>0</v>
      </c>
      <c r="L35" s="36">
        <v>0</v>
      </c>
      <c r="M35" s="36">
        <v>0</v>
      </c>
      <c r="N35" s="36">
        <v>0</v>
      </c>
      <c r="O35" s="36">
        <v>0</v>
      </c>
      <c r="P35" s="36">
        <v>0</v>
      </c>
      <c r="Q35" s="81">
        <v>0</v>
      </c>
      <c r="R35" s="36">
        <v>0</v>
      </c>
      <c r="S35" s="36">
        <v>0</v>
      </c>
      <c r="T35" s="36">
        <v>4.5546782894501807E-2</v>
      </c>
      <c r="U35" s="36">
        <v>0.94805830445500339</v>
      </c>
      <c r="V35" s="81">
        <v>0</v>
      </c>
      <c r="W35" s="36">
        <v>0</v>
      </c>
      <c r="X35" s="40">
        <v>6.3949126504948021E-3</v>
      </c>
      <c r="Y35" s="46">
        <f t="shared" si="0"/>
        <v>1</v>
      </c>
    </row>
    <row r="36" spans="2:25">
      <c r="B36" t="s">
        <v>216</v>
      </c>
      <c r="C36" s="49">
        <v>168128.07741813399</v>
      </c>
      <c r="E36" s="6" t="s">
        <v>215</v>
      </c>
      <c r="F36" s="50">
        <f t="shared" si="1"/>
        <v>34954.8250034964</v>
      </c>
      <c r="G36" s="47">
        <f t="shared" si="2"/>
        <v>3.7084621270273718E-2</v>
      </c>
      <c r="H36" s="29">
        <v>6</v>
      </c>
      <c r="I36" s="32">
        <v>0</v>
      </c>
      <c r="J36" s="36">
        <v>0</v>
      </c>
      <c r="K36" s="36">
        <v>0.52262253327251829</v>
      </c>
      <c r="L36" s="36">
        <v>0.15390859110237032</v>
      </c>
      <c r="M36" s="36">
        <v>0.32334871691752864</v>
      </c>
      <c r="N36" s="36">
        <v>1.2015870758275012E-4</v>
      </c>
      <c r="O36" s="36">
        <v>0</v>
      </c>
      <c r="P36" s="36">
        <v>0</v>
      </c>
      <c r="Q36" s="81">
        <v>0</v>
      </c>
      <c r="R36" s="36">
        <v>0</v>
      </c>
      <c r="S36" s="36">
        <v>0</v>
      </c>
      <c r="T36" s="36">
        <v>0</v>
      </c>
      <c r="U36" s="36">
        <v>0</v>
      </c>
      <c r="V36" s="81">
        <v>0</v>
      </c>
      <c r="W36" s="36">
        <v>0</v>
      </c>
      <c r="X36" s="40">
        <v>0</v>
      </c>
      <c r="Y36" s="46">
        <f t="shared" si="0"/>
        <v>1</v>
      </c>
    </row>
    <row r="37" spans="2:25">
      <c r="B37" t="s">
        <v>217</v>
      </c>
      <c r="C37" s="49">
        <v>24229.8711410219</v>
      </c>
      <c r="E37" s="17" t="s">
        <v>216</v>
      </c>
      <c r="F37" s="50">
        <f t="shared" si="1"/>
        <v>168128.07741813399</v>
      </c>
      <c r="G37" s="47">
        <f t="shared" si="2"/>
        <v>0.17837211530388433</v>
      </c>
      <c r="H37" s="74">
        <v>7</v>
      </c>
      <c r="I37" s="75">
        <v>0</v>
      </c>
      <c r="J37" s="76">
        <v>0</v>
      </c>
      <c r="K37" s="76">
        <v>0</v>
      </c>
      <c r="L37" s="76">
        <v>0</v>
      </c>
      <c r="M37" s="76">
        <v>0</v>
      </c>
      <c r="N37" s="76">
        <v>0.18889701400429948</v>
      </c>
      <c r="O37" s="76">
        <v>0</v>
      </c>
      <c r="P37" s="76">
        <v>0.43986650235409958</v>
      </c>
      <c r="Q37" s="81">
        <v>0.32290734731979331</v>
      </c>
      <c r="R37" s="76">
        <v>0</v>
      </c>
      <c r="S37" s="76">
        <v>0</v>
      </c>
      <c r="T37" s="76">
        <v>0</v>
      </c>
      <c r="U37" s="76">
        <v>0</v>
      </c>
      <c r="V37" s="81">
        <v>4.5059540414213541E-2</v>
      </c>
      <c r="W37" s="76">
        <v>0</v>
      </c>
      <c r="X37" s="77">
        <v>3.269595907594073E-3</v>
      </c>
      <c r="Y37" s="78">
        <f t="shared" si="0"/>
        <v>1</v>
      </c>
    </row>
    <row r="38" spans="2:25">
      <c r="B38" t="s">
        <v>218</v>
      </c>
      <c r="C38" s="49">
        <v>11692.4715124552</v>
      </c>
      <c r="E38" s="17" t="s">
        <v>217</v>
      </c>
      <c r="F38" s="50">
        <f t="shared" si="1"/>
        <v>24229.8711410219</v>
      </c>
      <c r="G38" s="47">
        <f t="shared" si="2"/>
        <v>2.5706196343493436E-2</v>
      </c>
      <c r="H38" s="29">
        <v>8</v>
      </c>
      <c r="I38" s="32">
        <v>0</v>
      </c>
      <c r="J38" s="36">
        <v>0</v>
      </c>
      <c r="K38" s="36">
        <v>0</v>
      </c>
      <c r="L38" s="36">
        <v>0</v>
      </c>
      <c r="M38" s="36">
        <v>1.8289993011934367E-3</v>
      </c>
      <c r="N38" s="36">
        <v>0.6118832251289279</v>
      </c>
      <c r="O38" s="36">
        <v>0</v>
      </c>
      <c r="P38" s="36">
        <v>0</v>
      </c>
      <c r="Q38" s="81">
        <v>0.37218281404327919</v>
      </c>
      <c r="R38" s="36">
        <v>0</v>
      </c>
      <c r="S38" s="36">
        <v>0</v>
      </c>
      <c r="T38" s="36">
        <v>0</v>
      </c>
      <c r="U38" s="36">
        <v>0</v>
      </c>
      <c r="V38" s="81">
        <v>0</v>
      </c>
      <c r="W38" s="36">
        <v>0</v>
      </c>
      <c r="X38" s="40">
        <v>1.4104961526599544E-2</v>
      </c>
      <c r="Y38" s="46">
        <f t="shared" si="0"/>
        <v>1</v>
      </c>
    </row>
    <row r="39" spans="2:25">
      <c r="B39" t="s">
        <v>219</v>
      </c>
      <c r="C39" s="49">
        <v>33664.067962068999</v>
      </c>
      <c r="E39" s="17" t="s">
        <v>218</v>
      </c>
      <c r="F39" s="50">
        <f t="shared" si="1"/>
        <v>11692.4715124552</v>
      </c>
      <c r="G39" s="47">
        <f t="shared" si="2"/>
        <v>1.2404893393386841E-2</v>
      </c>
      <c r="H39" s="29">
        <v>9</v>
      </c>
      <c r="I39" s="32">
        <v>0</v>
      </c>
      <c r="J39" s="36">
        <v>0</v>
      </c>
      <c r="K39" s="36">
        <v>0</v>
      </c>
      <c r="L39" s="36">
        <v>0</v>
      </c>
      <c r="M39" s="36">
        <v>0</v>
      </c>
      <c r="N39" s="36">
        <v>0</v>
      </c>
      <c r="O39" s="36">
        <v>0</v>
      </c>
      <c r="P39" s="36">
        <v>0</v>
      </c>
      <c r="Q39" s="81">
        <v>0</v>
      </c>
      <c r="R39" s="36">
        <v>0</v>
      </c>
      <c r="S39" s="36">
        <v>0</v>
      </c>
      <c r="T39" s="36">
        <v>0</v>
      </c>
      <c r="U39" s="36">
        <v>0.78487009632062588</v>
      </c>
      <c r="V39" s="81">
        <v>0.1210189319850906</v>
      </c>
      <c r="W39" s="36">
        <v>0</v>
      </c>
      <c r="X39" s="40">
        <v>9.4110971694283493E-2</v>
      </c>
      <c r="Y39" s="46">
        <f t="shared" si="0"/>
        <v>1</v>
      </c>
    </row>
    <row r="40" spans="2:25">
      <c r="B40" t="s">
        <v>220</v>
      </c>
      <c r="C40" s="49">
        <v>35588.191164836702</v>
      </c>
      <c r="E40" s="17" t="s">
        <v>219</v>
      </c>
      <c r="F40" s="50">
        <f t="shared" si="1"/>
        <v>33664.067962068999</v>
      </c>
      <c r="G40" s="47">
        <f t="shared" si="2"/>
        <v>3.5715218447387717E-2</v>
      </c>
      <c r="H40" s="29">
        <v>10</v>
      </c>
      <c r="I40" s="32">
        <v>0</v>
      </c>
      <c r="J40" s="36">
        <v>0</v>
      </c>
      <c r="K40" s="36">
        <v>0</v>
      </c>
      <c r="L40" s="36">
        <v>0</v>
      </c>
      <c r="M40" s="36">
        <v>0</v>
      </c>
      <c r="N40" s="36">
        <v>0</v>
      </c>
      <c r="O40" s="36">
        <v>0</v>
      </c>
      <c r="P40" s="36">
        <v>0</v>
      </c>
      <c r="Q40" s="81">
        <v>0</v>
      </c>
      <c r="R40" s="36">
        <v>0.71185658771154592</v>
      </c>
      <c r="S40" s="36">
        <v>0</v>
      </c>
      <c r="T40" s="36">
        <v>0</v>
      </c>
      <c r="U40" s="36">
        <v>0</v>
      </c>
      <c r="V40" s="81">
        <v>0.24169250378442073</v>
      </c>
      <c r="W40" s="36">
        <v>9.5716434351359521E-4</v>
      </c>
      <c r="X40" s="40">
        <v>4.5493744160519718E-2</v>
      </c>
      <c r="Y40" s="46">
        <f t="shared" si="0"/>
        <v>1</v>
      </c>
    </row>
    <row r="41" spans="2:25">
      <c r="B41" t="s">
        <v>221</v>
      </c>
      <c r="C41" s="49">
        <v>66439.552526901098</v>
      </c>
      <c r="E41" s="17" t="s">
        <v>220</v>
      </c>
      <c r="F41" s="50">
        <f t="shared" si="1"/>
        <v>35588.191164836702</v>
      </c>
      <c r="G41" s="47">
        <f t="shared" si="2"/>
        <v>3.7756578409706192E-2</v>
      </c>
      <c r="H41" s="29">
        <v>11</v>
      </c>
      <c r="I41" s="32">
        <v>0</v>
      </c>
      <c r="J41" s="36">
        <v>0</v>
      </c>
      <c r="K41" s="36">
        <v>0</v>
      </c>
      <c r="L41" s="36">
        <v>0</v>
      </c>
      <c r="M41" s="36">
        <v>0</v>
      </c>
      <c r="N41" s="36">
        <v>0</v>
      </c>
      <c r="O41" s="36">
        <v>0</v>
      </c>
      <c r="P41" s="36">
        <v>0</v>
      </c>
      <c r="Q41" s="81">
        <v>0</v>
      </c>
      <c r="R41" s="36">
        <v>0.86109418831996831</v>
      </c>
      <c r="S41" s="36">
        <v>0</v>
      </c>
      <c r="T41" s="36">
        <v>0</v>
      </c>
      <c r="U41" s="36">
        <v>0</v>
      </c>
      <c r="V41" s="81">
        <v>2.5299853868044056E-6</v>
      </c>
      <c r="W41" s="36">
        <v>0.13334844577937718</v>
      </c>
      <c r="X41" s="40">
        <v>5.5548359152677532E-3</v>
      </c>
      <c r="Y41" s="46">
        <f t="shared" si="0"/>
        <v>1.0000000000000002</v>
      </c>
    </row>
    <row r="42" spans="2:25">
      <c r="B42" t="s">
        <v>223</v>
      </c>
      <c r="C42" s="49">
        <v>21127.579698825699</v>
      </c>
      <c r="E42" s="17" t="s">
        <v>222</v>
      </c>
      <c r="F42" s="50">
        <f>SUM(C41:C42)</f>
        <v>87567.132225726789</v>
      </c>
      <c r="G42" s="47">
        <f t="shared" si="2"/>
        <v>9.2902594534237673E-2</v>
      </c>
      <c r="H42" s="29">
        <v>12</v>
      </c>
      <c r="I42" s="32">
        <v>0</v>
      </c>
      <c r="J42" s="36">
        <v>0</v>
      </c>
      <c r="K42" s="36">
        <v>0</v>
      </c>
      <c r="L42" s="36">
        <v>0</v>
      </c>
      <c r="M42" s="36">
        <v>0</v>
      </c>
      <c r="N42" s="36">
        <v>6.5955188612875512E-2</v>
      </c>
      <c r="O42" s="36">
        <v>0.62807745410608129</v>
      </c>
      <c r="P42" s="36">
        <v>1.9380707210528328E-2</v>
      </c>
      <c r="Q42" s="81">
        <v>0</v>
      </c>
      <c r="R42" s="36">
        <v>0.27880083521851912</v>
      </c>
      <c r="S42" s="36">
        <v>0</v>
      </c>
      <c r="T42" s="36">
        <v>0</v>
      </c>
      <c r="U42" s="36">
        <v>0</v>
      </c>
      <c r="V42" s="81">
        <v>6.622563637424638E-3</v>
      </c>
      <c r="W42" s="36">
        <v>1.1632512145711212E-3</v>
      </c>
      <c r="X42" s="40">
        <v>0</v>
      </c>
      <c r="Y42" s="46">
        <f t="shared" si="0"/>
        <v>1</v>
      </c>
    </row>
    <row r="43" spans="2:25">
      <c r="B43" t="s">
        <v>224</v>
      </c>
      <c r="C43" s="49">
        <v>29100.3242667962</v>
      </c>
      <c r="E43" s="17" t="s">
        <v>224</v>
      </c>
      <c r="F43" s="50">
        <f>C43</f>
        <v>29100.3242667962</v>
      </c>
      <c r="G43" s="47">
        <f t="shared" si="2"/>
        <v>3.0873406008136133E-2</v>
      </c>
      <c r="H43" s="29">
        <v>13</v>
      </c>
      <c r="I43" s="32">
        <v>0</v>
      </c>
      <c r="J43" s="36">
        <v>0</v>
      </c>
      <c r="K43" s="36">
        <v>0</v>
      </c>
      <c r="L43" s="36">
        <v>0</v>
      </c>
      <c r="M43" s="36">
        <v>0</v>
      </c>
      <c r="N43" s="36">
        <v>0</v>
      </c>
      <c r="O43" s="36">
        <v>0</v>
      </c>
      <c r="P43" s="36">
        <v>0</v>
      </c>
      <c r="Q43" s="81">
        <v>0</v>
      </c>
      <c r="R43" s="36">
        <v>0</v>
      </c>
      <c r="S43" s="36">
        <v>4.2090228290987712E-3</v>
      </c>
      <c r="T43" s="36">
        <v>0.99579097717090126</v>
      </c>
      <c r="U43" s="36">
        <v>0</v>
      </c>
      <c r="V43" s="81">
        <v>0</v>
      </c>
      <c r="W43" s="36">
        <v>0</v>
      </c>
      <c r="X43" s="40">
        <v>0</v>
      </c>
      <c r="Y43" s="46">
        <f t="shared" si="0"/>
        <v>1</v>
      </c>
    </row>
    <row r="44" spans="2:25">
      <c r="B44" t="s">
        <v>226</v>
      </c>
      <c r="C44" s="49">
        <v>38649.953145301697</v>
      </c>
      <c r="E44" s="17" t="s">
        <v>225</v>
      </c>
      <c r="F44" s="50">
        <f>F35</f>
        <v>43153.105531319401</v>
      </c>
      <c r="G44" s="47">
        <f t="shared" si="2"/>
        <v>4.5782422744358189E-2</v>
      </c>
      <c r="H44" s="29">
        <v>14</v>
      </c>
      <c r="I44" s="32">
        <v>0</v>
      </c>
      <c r="J44" s="36">
        <v>0</v>
      </c>
      <c r="K44" s="36">
        <v>0</v>
      </c>
      <c r="L44" s="36">
        <v>0</v>
      </c>
      <c r="M44" s="36">
        <v>0</v>
      </c>
      <c r="N44" s="36">
        <v>0</v>
      </c>
      <c r="O44" s="36">
        <v>0</v>
      </c>
      <c r="P44" s="36">
        <v>0</v>
      </c>
      <c r="Q44" s="81">
        <v>0</v>
      </c>
      <c r="R44" s="36">
        <v>0</v>
      </c>
      <c r="S44" s="36">
        <v>0</v>
      </c>
      <c r="T44" s="36">
        <v>1</v>
      </c>
      <c r="U44" s="36">
        <v>0</v>
      </c>
      <c r="V44" s="81">
        <v>0</v>
      </c>
      <c r="W44" s="36">
        <v>0</v>
      </c>
      <c r="X44" s="40">
        <v>0</v>
      </c>
      <c r="Y44" s="46">
        <f t="shared" si="0"/>
        <v>1</v>
      </c>
    </row>
    <row r="45" spans="2:25">
      <c r="B45" t="s">
        <v>228</v>
      </c>
      <c r="C45" s="49">
        <v>14637.067657575701</v>
      </c>
      <c r="E45" s="17" t="s">
        <v>227</v>
      </c>
      <c r="F45" s="50">
        <f>F35</f>
        <v>43153.105531319401</v>
      </c>
      <c r="G45" s="47">
        <f t="shared" si="2"/>
        <v>4.5782422744358189E-2</v>
      </c>
      <c r="H45" s="29">
        <v>15</v>
      </c>
      <c r="I45" s="32">
        <v>0</v>
      </c>
      <c r="J45" s="36">
        <v>1.9389534529224541E-3</v>
      </c>
      <c r="K45" s="36">
        <v>0</v>
      </c>
      <c r="L45" s="36">
        <v>0</v>
      </c>
      <c r="M45" s="36">
        <v>0</v>
      </c>
      <c r="N45" s="36">
        <v>0</v>
      </c>
      <c r="O45" s="36">
        <v>0</v>
      </c>
      <c r="P45" s="36">
        <v>0</v>
      </c>
      <c r="Q45" s="81">
        <v>0</v>
      </c>
      <c r="R45" s="36">
        <v>0</v>
      </c>
      <c r="S45" s="36">
        <v>0.44545524757224331</v>
      </c>
      <c r="T45" s="36">
        <v>0.52652748476681743</v>
      </c>
      <c r="U45" s="36">
        <v>0</v>
      </c>
      <c r="V45" s="81">
        <v>0</v>
      </c>
      <c r="W45" s="36">
        <v>0</v>
      </c>
      <c r="X45" s="40">
        <v>2.6078314208016779E-2</v>
      </c>
      <c r="Y45" s="46">
        <f t="shared" si="0"/>
        <v>1</v>
      </c>
    </row>
    <row r="46" spans="2:25">
      <c r="E46" s="17" t="s">
        <v>226</v>
      </c>
      <c r="F46" s="50">
        <f>C44</f>
        <v>38649.953145301697</v>
      </c>
      <c r="G46" s="47">
        <f t="shared" si="2"/>
        <v>4.1004893440718657E-2</v>
      </c>
      <c r="H46" s="29">
        <v>16</v>
      </c>
      <c r="I46" s="32">
        <v>0</v>
      </c>
      <c r="J46" s="36">
        <v>0</v>
      </c>
      <c r="K46" s="36">
        <v>0</v>
      </c>
      <c r="L46" s="36">
        <v>0</v>
      </c>
      <c r="M46" s="36">
        <v>0</v>
      </c>
      <c r="N46" s="36">
        <v>0.17179501618810883</v>
      </c>
      <c r="O46" s="36">
        <v>0</v>
      </c>
      <c r="P46" s="36">
        <v>0.27901486514139412</v>
      </c>
      <c r="Q46" s="81">
        <v>0.54919011867049705</v>
      </c>
      <c r="R46" s="36">
        <v>0</v>
      </c>
      <c r="S46" s="36">
        <v>0</v>
      </c>
      <c r="T46" s="36">
        <v>0</v>
      </c>
      <c r="U46" s="36">
        <v>0</v>
      </c>
      <c r="V46" s="81">
        <v>0</v>
      </c>
      <c r="W46" s="36">
        <v>0</v>
      </c>
      <c r="X46" s="40">
        <v>0</v>
      </c>
      <c r="Y46" s="46">
        <f t="shared" si="0"/>
        <v>1</v>
      </c>
    </row>
    <row r="47" spans="2:25">
      <c r="B47" s="537" t="s">
        <v>794</v>
      </c>
      <c r="C47" s="537"/>
      <c r="D47" s="604"/>
      <c r="E47" s="17" t="s">
        <v>228</v>
      </c>
      <c r="F47" s="50">
        <f>C45</f>
        <v>14637.067657575701</v>
      </c>
      <c r="G47" s="47">
        <f t="shared" si="2"/>
        <v>1.552890367879891E-2</v>
      </c>
      <c r="H47" s="29">
        <v>17</v>
      </c>
      <c r="I47" s="32">
        <v>0</v>
      </c>
      <c r="J47" s="36">
        <v>0</v>
      </c>
      <c r="K47" s="36">
        <v>0</v>
      </c>
      <c r="L47" s="36">
        <v>0</v>
      </c>
      <c r="M47" s="36">
        <v>0</v>
      </c>
      <c r="N47" s="36">
        <v>0</v>
      </c>
      <c r="O47" s="36">
        <v>0</v>
      </c>
      <c r="P47" s="36">
        <v>0</v>
      </c>
      <c r="Q47" s="81">
        <v>0.9935409013613431</v>
      </c>
      <c r="R47" s="36">
        <v>0</v>
      </c>
      <c r="S47" s="36">
        <v>0</v>
      </c>
      <c r="T47" s="36">
        <v>0</v>
      </c>
      <c r="U47" s="36">
        <v>0</v>
      </c>
      <c r="V47" s="81">
        <v>0</v>
      </c>
      <c r="W47" s="36">
        <v>0</v>
      </c>
      <c r="X47" s="40">
        <v>6.4590986386568834E-3</v>
      </c>
      <c r="Y47" s="46">
        <f t="shared" si="0"/>
        <v>1</v>
      </c>
    </row>
    <row r="48" spans="2:25">
      <c r="B48" s="537"/>
      <c r="C48" s="537"/>
      <c r="D48" s="604"/>
      <c r="E48" s="17" t="s">
        <v>229</v>
      </c>
      <c r="F48" s="50">
        <f>C45</f>
        <v>14637.067657575701</v>
      </c>
      <c r="G48" s="47">
        <f t="shared" si="2"/>
        <v>1.552890367879891E-2</v>
      </c>
      <c r="H48" s="29">
        <v>18</v>
      </c>
      <c r="I48" s="32">
        <v>0</v>
      </c>
      <c r="J48" s="36">
        <v>0</v>
      </c>
      <c r="K48" s="36">
        <v>0</v>
      </c>
      <c r="L48" s="36">
        <v>0</v>
      </c>
      <c r="M48" s="36">
        <v>0</v>
      </c>
      <c r="N48" s="36">
        <v>0</v>
      </c>
      <c r="O48" s="36">
        <v>0</v>
      </c>
      <c r="P48" s="36">
        <v>0</v>
      </c>
      <c r="Q48" s="81">
        <v>1</v>
      </c>
      <c r="R48" s="36">
        <v>0</v>
      </c>
      <c r="S48" s="36">
        <v>0</v>
      </c>
      <c r="T48" s="36">
        <v>0</v>
      </c>
      <c r="U48" s="36">
        <v>0</v>
      </c>
      <c r="V48" s="81">
        <v>0</v>
      </c>
      <c r="W48" s="36">
        <v>0</v>
      </c>
      <c r="X48" s="40">
        <v>0</v>
      </c>
      <c r="Y48" s="46">
        <f t="shared" si="0"/>
        <v>1</v>
      </c>
    </row>
    <row r="49" spans="2:25">
      <c r="B49" s="537"/>
      <c r="C49" s="537"/>
      <c r="D49" s="604"/>
      <c r="E49" s="17" t="s">
        <v>230</v>
      </c>
      <c r="F49" s="50">
        <f>C40</f>
        <v>35588.191164836702</v>
      </c>
      <c r="G49" s="47">
        <f t="shared" si="2"/>
        <v>3.7756578409706192E-2</v>
      </c>
      <c r="H49" s="29">
        <v>19</v>
      </c>
      <c r="I49" s="32">
        <v>0</v>
      </c>
      <c r="J49" s="36">
        <v>0</v>
      </c>
      <c r="K49" s="36">
        <v>0</v>
      </c>
      <c r="L49" s="36">
        <v>0</v>
      </c>
      <c r="M49" s="36">
        <v>0</v>
      </c>
      <c r="N49" s="36">
        <v>0</v>
      </c>
      <c r="O49" s="36">
        <v>0</v>
      </c>
      <c r="P49" s="36">
        <v>0</v>
      </c>
      <c r="Q49" s="81">
        <v>0</v>
      </c>
      <c r="R49" s="36">
        <v>0</v>
      </c>
      <c r="S49" s="36">
        <v>0</v>
      </c>
      <c r="T49" s="36">
        <v>0</v>
      </c>
      <c r="U49" s="36">
        <v>0</v>
      </c>
      <c r="V49" s="81">
        <v>2.4220124862473494E-4</v>
      </c>
      <c r="W49" s="36">
        <v>0.99975779875137527</v>
      </c>
      <c r="X49" s="40">
        <v>0</v>
      </c>
      <c r="Y49" s="46">
        <f t="shared" si="0"/>
        <v>1</v>
      </c>
    </row>
    <row r="50" spans="2:25">
      <c r="B50" s="537"/>
      <c r="C50" s="537"/>
      <c r="D50" s="604"/>
      <c r="E50" s="17" t="s">
        <v>231</v>
      </c>
      <c r="F50" s="50">
        <f>C39</f>
        <v>33664.067962068999</v>
      </c>
      <c r="G50" s="47">
        <f t="shared" si="2"/>
        <v>3.5715218447387717E-2</v>
      </c>
      <c r="H50" s="29">
        <v>20</v>
      </c>
      <c r="I50" s="33">
        <v>0</v>
      </c>
      <c r="J50" s="37">
        <v>0</v>
      </c>
      <c r="K50" s="37">
        <v>0</v>
      </c>
      <c r="L50" s="37">
        <v>0</v>
      </c>
      <c r="M50" s="37">
        <v>0</v>
      </c>
      <c r="N50" s="37">
        <v>0</v>
      </c>
      <c r="O50" s="37">
        <v>0</v>
      </c>
      <c r="P50" s="37">
        <v>0</v>
      </c>
      <c r="Q50" s="82">
        <v>0</v>
      </c>
      <c r="R50" s="37">
        <v>0</v>
      </c>
      <c r="S50" s="37">
        <v>0</v>
      </c>
      <c r="T50" s="37">
        <v>0</v>
      </c>
      <c r="U50" s="37">
        <v>0</v>
      </c>
      <c r="V50" s="82">
        <v>0</v>
      </c>
      <c r="W50" s="37">
        <v>0</v>
      </c>
      <c r="X50" s="41">
        <v>1</v>
      </c>
      <c r="Y50" s="46">
        <f t="shared" si="0"/>
        <v>1</v>
      </c>
    </row>
  </sheetData>
  <mergeCells count="4">
    <mergeCell ref="C4:W4"/>
    <mergeCell ref="B28:F28"/>
    <mergeCell ref="I28:X28"/>
    <mergeCell ref="B47:D50"/>
  </mergeCells>
  <hyperlinks>
    <hyperlink ref="C25" r:id="rId1" xr:uid="{C9E3C765-F661-4AA3-93CD-E339B47454EF}"/>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DC9C1-ABE9-4C74-8C0A-F769CBEC5074}">
  <sheetPr codeName="Sheet5">
    <tabColor rgb="FF00B050"/>
  </sheetPr>
  <dimension ref="A1:Q69"/>
  <sheetViews>
    <sheetView zoomScale="120" zoomScaleNormal="120" workbookViewId="0">
      <selection activeCell="D51" sqref="D51"/>
    </sheetView>
  </sheetViews>
  <sheetFormatPr defaultColWidth="8.42578125" defaultRowHeight="12.95"/>
  <cols>
    <col min="1" max="2" width="19.85546875" style="220" customWidth="1"/>
    <col min="3" max="3" width="17.140625" style="220" customWidth="1"/>
    <col min="4" max="4" width="19.85546875" style="220" customWidth="1"/>
    <col min="5" max="6" width="17.85546875" style="220" customWidth="1"/>
    <col min="7" max="11" width="10.42578125" style="220" customWidth="1"/>
    <col min="12" max="12" width="12.28515625" style="220" customWidth="1"/>
    <col min="13" max="13" width="10.140625" style="220" customWidth="1"/>
    <col min="14" max="14" width="34.85546875" style="220" customWidth="1"/>
    <col min="15" max="15" width="13.140625" style="220" customWidth="1"/>
    <col min="16" max="16" width="22.42578125" style="220" bestFit="1" customWidth="1"/>
    <col min="17" max="17" width="18.42578125" style="220" customWidth="1"/>
    <col min="18" max="18" width="25.42578125" style="220" customWidth="1"/>
    <col min="19" max="19" width="22.42578125" style="220" customWidth="1"/>
    <col min="20" max="20" width="16.42578125" style="220" customWidth="1"/>
    <col min="21" max="21" width="6.42578125" style="220" bestFit="1" customWidth="1"/>
    <col min="22" max="26" width="17.42578125" style="220" customWidth="1"/>
    <col min="27" max="16384" width="8.42578125" style="220"/>
  </cols>
  <sheetData>
    <row r="1" spans="1:17" s="3" customFormat="1" ht="15">
      <c r="A1" s="464" t="s">
        <v>2</v>
      </c>
      <c r="B1" s="607"/>
      <c r="C1" s="608"/>
      <c r="D1" s="608"/>
      <c r="E1" s="608"/>
      <c r="F1" s="608"/>
      <c r="G1" s="608"/>
      <c r="H1" s="463"/>
      <c r="I1" s="463"/>
      <c r="J1" s="463"/>
      <c r="K1" s="463"/>
      <c r="L1" s="463"/>
      <c r="M1" s="463"/>
      <c r="N1" s="463"/>
      <c r="O1" s="463"/>
      <c r="P1" s="463"/>
      <c r="Q1" s="463"/>
    </row>
    <row r="2" spans="1:17" s="461" customFormat="1" ht="14.1">
      <c r="A2" s="609"/>
      <c r="B2" s="212"/>
      <c r="C2" s="151"/>
      <c r="D2" s="151"/>
      <c r="E2" s="151"/>
      <c r="F2" s="151"/>
      <c r="G2" s="151"/>
      <c r="H2" s="151"/>
      <c r="I2" s="151"/>
      <c r="J2" s="151"/>
      <c r="K2" s="151"/>
      <c r="L2" s="151"/>
      <c r="M2" s="151"/>
      <c r="N2" s="151"/>
      <c r="O2" s="151"/>
      <c r="P2" s="151"/>
      <c r="Q2" s="151"/>
    </row>
    <row r="3" spans="1:17" s="461" customFormat="1" ht="14.1">
      <c r="A3" s="609"/>
      <c r="B3" s="212"/>
      <c r="C3" s="151"/>
      <c r="D3" s="151"/>
      <c r="E3" s="151"/>
      <c r="F3" s="151"/>
      <c r="G3" s="151"/>
      <c r="H3" s="151"/>
      <c r="I3" s="151"/>
      <c r="J3" s="151"/>
      <c r="K3" s="151"/>
      <c r="L3" s="151"/>
      <c r="M3" s="151"/>
      <c r="N3" s="151"/>
      <c r="O3" s="151"/>
      <c r="P3" s="151"/>
      <c r="Q3" s="151"/>
    </row>
    <row r="4" spans="1:17" ht="26.25" customHeight="1">
      <c r="A4" s="486" t="str">
        <f>"Proposed Layout - "&amp;Prototype!A3</f>
        <v>Proposed Layout - Controlled Environment Horticulture</v>
      </c>
      <c r="B4" s="486"/>
      <c r="C4" s="486"/>
      <c r="D4" s="486"/>
      <c r="E4" s="486"/>
      <c r="F4" s="486"/>
      <c r="G4" s="486"/>
      <c r="H4" s="486"/>
      <c r="I4" s="486"/>
      <c r="J4" s="486"/>
      <c r="K4" s="486"/>
      <c r="L4" s="486"/>
      <c r="M4" s="487"/>
      <c r="N4" s="487"/>
      <c r="O4" s="261"/>
    </row>
    <row r="5" spans="1:17" ht="39.75" customHeight="1">
      <c r="A5" s="176" t="s">
        <v>38</v>
      </c>
      <c r="B5" s="176" t="s">
        <v>39</v>
      </c>
      <c r="C5" s="175" t="s">
        <v>40</v>
      </c>
      <c r="D5" s="175" t="s">
        <v>41</v>
      </c>
      <c r="E5" s="176" t="s">
        <v>42</v>
      </c>
      <c r="F5" s="227" t="s">
        <v>43</v>
      </c>
      <c r="G5" s="227" t="s">
        <v>44</v>
      </c>
      <c r="H5" s="227" t="s">
        <v>45</v>
      </c>
      <c r="I5" s="175" t="s">
        <v>46</v>
      </c>
      <c r="J5" s="175" t="s">
        <v>47</v>
      </c>
      <c r="K5" s="310" t="s">
        <v>48</v>
      </c>
      <c r="L5" s="175" t="s">
        <v>49</v>
      </c>
      <c r="M5" s="175" t="s">
        <v>50</v>
      </c>
      <c r="N5" s="175" t="s">
        <v>51</v>
      </c>
      <c r="O5" s="261"/>
      <c r="P5" s="264"/>
      <c r="Q5" s="264"/>
    </row>
    <row r="6" spans="1:17" ht="42">
      <c r="A6" s="269" t="s">
        <v>52</v>
      </c>
      <c r="B6" s="269" t="s">
        <v>52</v>
      </c>
      <c r="C6" s="167" t="s">
        <v>53</v>
      </c>
      <c r="D6" s="269" t="s">
        <v>52</v>
      </c>
      <c r="E6" s="439">
        <f>F6/$F$17</f>
        <v>0.11522633744855967</v>
      </c>
      <c r="F6" s="92">
        <f>G6*H6</f>
        <v>2940</v>
      </c>
      <c r="G6" s="167">
        <v>20</v>
      </c>
      <c r="H6" s="167">
        <v>147</v>
      </c>
      <c r="I6" s="167">
        <f>F6*Prototype!$B$16</f>
        <v>41160</v>
      </c>
      <c r="J6" s="167">
        <v>1</v>
      </c>
      <c r="K6" s="167">
        <v>0</v>
      </c>
      <c r="L6" s="168" t="s">
        <v>54</v>
      </c>
      <c r="M6" s="168">
        <f>F6*0.7*2</f>
        <v>4116</v>
      </c>
      <c r="N6" s="423" t="s">
        <v>55</v>
      </c>
      <c r="O6" s="261"/>
      <c r="P6" s="264"/>
      <c r="Q6" s="264"/>
    </row>
    <row r="7" spans="1:17" ht="69.95">
      <c r="A7" s="269" t="s">
        <v>56</v>
      </c>
      <c r="B7" s="297" t="s">
        <v>57</v>
      </c>
      <c r="C7" s="167" t="s">
        <v>53</v>
      </c>
      <c r="D7" s="297" t="s">
        <v>58</v>
      </c>
      <c r="E7" s="439">
        <f>F7/$F$17</f>
        <v>0.48971193415637859</v>
      </c>
      <c r="F7" s="92">
        <f>G7*H7</f>
        <v>12495</v>
      </c>
      <c r="G7" s="167">
        <v>85</v>
      </c>
      <c r="H7" s="167">
        <v>147</v>
      </c>
      <c r="I7" s="167">
        <f>F7*Prototype!$B$16</f>
        <v>174930</v>
      </c>
      <c r="J7" s="167">
        <v>1</v>
      </c>
      <c r="K7" s="167">
        <v>0</v>
      </c>
      <c r="L7" s="168" t="s">
        <v>54</v>
      </c>
      <c r="M7" s="168">
        <f>F7*0.7</f>
        <v>8746.5</v>
      </c>
      <c r="N7" s="423" t="s">
        <v>59</v>
      </c>
      <c r="O7" s="261"/>
      <c r="P7" s="264"/>
      <c r="Q7" s="264"/>
    </row>
    <row r="8" spans="1:17" ht="27.95">
      <c r="A8" s="269" t="s">
        <v>60</v>
      </c>
      <c r="B8" s="269" t="s">
        <v>60</v>
      </c>
      <c r="C8" s="167" t="s">
        <v>53</v>
      </c>
      <c r="D8" s="311" t="s">
        <v>61</v>
      </c>
      <c r="E8" s="439">
        <f>F8/$F$17</f>
        <v>8.2304526748971193E-2</v>
      </c>
      <c r="F8" s="92">
        <f>G8*H8</f>
        <v>2100</v>
      </c>
      <c r="G8" s="167">
        <v>28</v>
      </c>
      <c r="H8" s="167">
        <v>75</v>
      </c>
      <c r="I8" s="167">
        <f>F8*Prototype!$B$16</f>
        <v>29400</v>
      </c>
      <c r="J8" s="167">
        <v>1</v>
      </c>
      <c r="K8" s="167">
        <v>3</v>
      </c>
      <c r="L8" s="168">
        <v>1.4</v>
      </c>
      <c r="M8" s="168" t="s">
        <v>62</v>
      </c>
      <c r="N8" s="423" t="s">
        <v>63</v>
      </c>
      <c r="O8" s="261"/>
      <c r="P8" s="264"/>
      <c r="Q8" s="264"/>
    </row>
    <row r="9" spans="1:17" ht="21" customHeight="1">
      <c r="A9" s="269" t="s">
        <v>64</v>
      </c>
      <c r="B9" s="269" t="s">
        <v>65</v>
      </c>
      <c r="C9" s="167" t="s">
        <v>53</v>
      </c>
      <c r="D9" s="311" t="s">
        <v>64</v>
      </c>
      <c r="E9" s="439">
        <f>F9/$F$17</f>
        <v>5.8788947677836566E-2</v>
      </c>
      <c r="F9" s="92">
        <f>G9*H9</f>
        <v>1500</v>
      </c>
      <c r="G9" s="167">
        <v>20</v>
      </c>
      <c r="H9" s="167">
        <v>75</v>
      </c>
      <c r="I9" s="167">
        <f>F9*Prototype!$B$16</f>
        <v>21000</v>
      </c>
      <c r="J9" s="167">
        <v>1</v>
      </c>
      <c r="K9" s="167">
        <f t="shared" ref="K9:K12" si="0">L9*F9/1000</f>
        <v>0</v>
      </c>
      <c r="L9" s="168">
        <v>0</v>
      </c>
      <c r="M9" s="168" t="s">
        <v>62</v>
      </c>
      <c r="N9" s="423"/>
      <c r="O9" s="261"/>
      <c r="P9" s="264"/>
      <c r="Q9" s="264"/>
    </row>
    <row r="10" spans="1:17" ht="18" customHeight="1">
      <c r="A10" s="491" t="s">
        <v>66</v>
      </c>
      <c r="B10" s="490" t="s">
        <v>67</v>
      </c>
      <c r="C10" s="167" t="s">
        <v>53</v>
      </c>
      <c r="D10" s="488" t="s">
        <v>66</v>
      </c>
      <c r="E10" s="492">
        <f>F10/$F$17</f>
        <v>9.594356261022928E-2</v>
      </c>
      <c r="F10" s="493">
        <f>(G10*H10)+(G11*H11)</f>
        <v>2448</v>
      </c>
      <c r="G10" s="312">
        <v>15</v>
      </c>
      <c r="H10" s="312">
        <v>75</v>
      </c>
      <c r="I10" s="485">
        <f>F10*Prototype!$B$16</f>
        <v>34272</v>
      </c>
      <c r="J10" s="485">
        <v>1</v>
      </c>
      <c r="K10" s="485">
        <f t="shared" si="0"/>
        <v>0</v>
      </c>
      <c r="L10" s="168">
        <v>0</v>
      </c>
      <c r="M10" s="168" t="s">
        <v>62</v>
      </c>
      <c r="N10" s="423"/>
      <c r="O10" s="261"/>
      <c r="P10" s="264"/>
      <c r="Q10" s="264"/>
    </row>
    <row r="11" spans="1:17" ht="18" customHeight="1">
      <c r="A11" s="491"/>
      <c r="B11" s="490"/>
      <c r="C11" s="167" t="s">
        <v>53</v>
      </c>
      <c r="D11" s="489"/>
      <c r="E11" s="492"/>
      <c r="F11" s="493"/>
      <c r="G11" s="312">
        <v>63</v>
      </c>
      <c r="H11" s="312">
        <v>21</v>
      </c>
      <c r="I11" s="485"/>
      <c r="J11" s="485"/>
      <c r="K11" s="485"/>
      <c r="L11" s="168"/>
      <c r="M11" s="168" t="s">
        <v>62</v>
      </c>
      <c r="N11" s="423"/>
      <c r="O11" s="261"/>
      <c r="P11" s="264"/>
      <c r="Q11" s="264"/>
    </row>
    <row r="12" spans="1:17" ht="30.95" customHeight="1">
      <c r="A12" s="269" t="s">
        <v>68</v>
      </c>
      <c r="B12" s="269" t="s">
        <v>68</v>
      </c>
      <c r="C12" s="167" t="s">
        <v>53</v>
      </c>
      <c r="D12" s="311" t="s">
        <v>69</v>
      </c>
      <c r="E12" s="439">
        <f>F12/$F$17</f>
        <v>0.12345679012345678</v>
      </c>
      <c r="F12" s="92">
        <f>G12*H12</f>
        <v>3150</v>
      </c>
      <c r="G12" s="167">
        <v>42</v>
      </c>
      <c r="H12" s="167">
        <v>75</v>
      </c>
      <c r="I12" s="167">
        <f>F12*Prototype!$B$16</f>
        <v>44100</v>
      </c>
      <c r="J12" s="167">
        <v>1</v>
      </c>
      <c r="K12" s="167">
        <f t="shared" si="0"/>
        <v>15.75</v>
      </c>
      <c r="L12" s="168">
        <v>5</v>
      </c>
      <c r="M12" s="168" t="s">
        <v>62</v>
      </c>
      <c r="N12" s="423" t="s">
        <v>70</v>
      </c>
      <c r="O12" s="261"/>
      <c r="P12" s="264"/>
      <c r="Q12" s="264"/>
    </row>
    <row r="13" spans="1:17" ht="18" customHeight="1">
      <c r="A13" s="269" t="s">
        <v>71</v>
      </c>
      <c r="B13" s="269" t="s">
        <v>71</v>
      </c>
      <c r="C13" s="167" t="s">
        <v>53</v>
      </c>
      <c r="D13" s="311" t="s">
        <v>69</v>
      </c>
      <c r="E13" s="439">
        <f>F13/$F$17</f>
        <v>1.646090534979424E-2</v>
      </c>
      <c r="F13" s="92">
        <f>G13*H13</f>
        <v>420</v>
      </c>
      <c r="G13" s="167">
        <v>20</v>
      </c>
      <c r="H13" s="167">
        <v>21</v>
      </c>
      <c r="I13" s="167">
        <f>F13*Prototype!$B$16</f>
        <v>5880</v>
      </c>
      <c r="J13" s="167">
        <v>1</v>
      </c>
      <c r="K13" s="167">
        <v>1</v>
      </c>
      <c r="L13" s="168" t="s">
        <v>54</v>
      </c>
      <c r="M13" s="168" t="s">
        <v>62</v>
      </c>
      <c r="N13" s="423"/>
      <c r="O13" s="261"/>
      <c r="P13" s="264"/>
      <c r="Q13" s="264"/>
    </row>
    <row r="14" spans="1:17" ht="18" customHeight="1">
      <c r="A14" s="269" t="s">
        <v>72</v>
      </c>
      <c r="B14" s="269" t="s">
        <v>72</v>
      </c>
      <c r="C14" s="167" t="s">
        <v>53</v>
      </c>
      <c r="D14" s="311" t="s">
        <v>69</v>
      </c>
      <c r="E14" s="439">
        <f>F14/$F$17</f>
        <v>1.8106995884773661E-2</v>
      </c>
      <c r="F14" s="92">
        <f>G14*H14</f>
        <v>462</v>
      </c>
      <c r="G14" s="167">
        <v>22</v>
      </c>
      <c r="H14" s="167">
        <v>21</v>
      </c>
      <c r="I14" s="167">
        <f>F14*Prototype!$B$16</f>
        <v>6468</v>
      </c>
      <c r="J14" s="167">
        <v>1</v>
      </c>
      <c r="K14" s="167">
        <v>1</v>
      </c>
      <c r="L14" s="168">
        <v>5</v>
      </c>
      <c r="M14" s="168" t="s">
        <v>62</v>
      </c>
      <c r="N14" s="423"/>
      <c r="O14" s="261"/>
      <c r="P14" s="264"/>
      <c r="Q14" s="264"/>
    </row>
    <row r="15" spans="1:17" ht="18" customHeight="1">
      <c r="A15" s="163"/>
      <c r="B15" s="163"/>
      <c r="C15" s="167"/>
      <c r="D15" s="311"/>
      <c r="E15" s="311"/>
      <c r="F15" s="167"/>
      <c r="G15" s="167"/>
      <c r="H15" s="167"/>
      <c r="I15" s="167"/>
      <c r="J15" s="167"/>
      <c r="K15" s="167"/>
      <c r="L15" s="168"/>
      <c r="M15" s="168"/>
      <c r="N15" s="423"/>
      <c r="O15" s="261"/>
      <c r="P15" s="264"/>
      <c r="Q15" s="264"/>
    </row>
    <row r="16" spans="1:17" ht="18" customHeight="1">
      <c r="A16" s="163"/>
      <c r="B16" s="163"/>
      <c r="C16" s="167"/>
      <c r="D16" s="311"/>
      <c r="E16" s="311"/>
      <c r="F16" s="167"/>
      <c r="G16" s="167"/>
      <c r="H16" s="167"/>
      <c r="I16" s="167"/>
      <c r="J16" s="167"/>
      <c r="K16" s="167"/>
      <c r="L16" s="168"/>
      <c r="M16" s="168"/>
      <c r="N16" s="423"/>
      <c r="O16" s="261"/>
      <c r="P16" s="264"/>
      <c r="Q16" s="264"/>
    </row>
    <row r="17" spans="1:17" s="253" customFormat="1" ht="31.7" customHeight="1">
      <c r="A17" s="424" t="s">
        <v>73</v>
      </c>
      <c r="B17" s="424" t="s">
        <v>74</v>
      </c>
      <c r="C17" s="425"/>
      <c r="D17" s="425" t="s">
        <v>75</v>
      </c>
      <c r="E17" s="426">
        <f>SUM(E6:E14)</f>
        <v>1</v>
      </c>
      <c r="F17" s="427">
        <f>SUM(F6:F14)</f>
        <v>25515</v>
      </c>
      <c r="G17" s="427"/>
      <c r="H17" s="427"/>
      <c r="I17" s="428">
        <f>SUM(I6:I14)</f>
        <v>357210</v>
      </c>
      <c r="J17" s="428"/>
      <c r="K17" s="428"/>
      <c r="L17" s="429"/>
      <c r="M17" s="429">
        <f>SUM(M6:M7)</f>
        <v>12862.5</v>
      </c>
      <c r="N17" s="430"/>
      <c r="O17" s="431"/>
      <c r="P17" s="264"/>
      <c r="Q17" s="264"/>
    </row>
    <row r="18" spans="1:17" ht="15" customHeight="1">
      <c r="A18" s="314"/>
      <c r="B18" s="314"/>
      <c r="C18" s="259"/>
      <c r="D18" s="259"/>
      <c r="E18" s="260"/>
      <c r="F18" s="260"/>
      <c r="G18" s="260"/>
      <c r="H18" s="260"/>
      <c r="I18" s="194"/>
      <c r="J18" s="194"/>
      <c r="K18" s="194"/>
      <c r="L18" s="261"/>
      <c r="N18" s="194"/>
      <c r="O18" s="261"/>
      <c r="P18" s="264"/>
      <c r="Q18" s="264"/>
    </row>
    <row r="19" spans="1:17" ht="30.95" customHeight="1">
      <c r="A19" s="314" t="s">
        <v>76</v>
      </c>
      <c r="B19" s="259">
        <v>13000</v>
      </c>
      <c r="C19" s="259" t="s">
        <v>77</v>
      </c>
      <c r="D19" s="259" t="s">
        <v>78</v>
      </c>
      <c r="E19" s="260">
        <f>E20*F20</f>
        <v>25515</v>
      </c>
      <c r="F19" s="260"/>
      <c r="G19" s="260"/>
      <c r="H19" s="260"/>
      <c r="I19" s="194"/>
      <c r="J19" s="194"/>
      <c r="K19" s="194"/>
      <c r="L19" s="261"/>
      <c r="N19" s="261"/>
      <c r="O19" s="261"/>
    </row>
    <row r="20" spans="1:17" ht="15" customHeight="1">
      <c r="E20" s="220">
        <v>243</v>
      </c>
      <c r="F20" s="170">
        <v>105</v>
      </c>
      <c r="G20" s="170"/>
      <c r="H20" s="170"/>
      <c r="I20" s="170"/>
      <c r="J20" s="170"/>
      <c r="K20" s="170"/>
      <c r="L20" s="170"/>
      <c r="N20" s="261"/>
      <c r="O20" s="261"/>
    </row>
    <row r="21" spans="1:17" ht="14.45" customHeight="1">
      <c r="A21" s="265"/>
      <c r="B21" s="265"/>
      <c r="C21" s="266"/>
      <c r="D21" s="266"/>
      <c r="E21" s="267" t="s">
        <v>45</v>
      </c>
      <c r="F21" s="266" t="s">
        <v>44</v>
      </c>
      <c r="G21" s="266"/>
      <c r="H21" s="266"/>
      <c r="I21" s="266"/>
      <c r="J21" s="266"/>
      <c r="K21" s="170"/>
      <c r="L21" s="170"/>
      <c r="N21" s="261"/>
      <c r="O21" s="261"/>
    </row>
    <row r="22" spans="1:17" ht="14.45" customHeight="1">
      <c r="A22" s="265"/>
      <c r="B22" s="265"/>
      <c r="C22" s="266"/>
      <c r="D22" s="266"/>
      <c r="E22" s="267"/>
      <c r="F22" s="266"/>
      <c r="G22" s="266"/>
      <c r="H22" s="266"/>
      <c r="I22" s="266"/>
      <c r="J22" s="266"/>
      <c r="K22" s="170"/>
      <c r="L22" s="170"/>
      <c r="N22" s="261"/>
      <c r="O22" s="261"/>
    </row>
    <row r="23" spans="1:17">
      <c r="A23" s="315"/>
      <c r="B23" s="315"/>
      <c r="C23" s="268"/>
      <c r="D23" s="268"/>
      <c r="E23" s="268"/>
      <c r="F23" s="268"/>
      <c r="G23" s="268"/>
      <c r="H23" s="268"/>
      <c r="I23" s="268"/>
      <c r="J23" s="266"/>
      <c r="K23" s="170"/>
      <c r="L23" s="170"/>
    </row>
    <row r="24" spans="1:17">
      <c r="F24" s="170"/>
      <c r="G24" s="170"/>
      <c r="H24" s="170"/>
      <c r="I24" s="170"/>
      <c r="J24" s="170"/>
      <c r="K24" s="170"/>
      <c r="L24" s="170"/>
    </row>
    <row r="25" spans="1:17" hidden="1">
      <c r="F25" s="170"/>
      <c r="G25" s="170"/>
      <c r="H25" s="170"/>
      <c r="I25" s="170"/>
      <c r="J25" s="170"/>
      <c r="K25" s="170"/>
      <c r="L25" s="170"/>
    </row>
    <row r="26" spans="1:17" ht="26.25" hidden="1" customHeight="1">
      <c r="F26" s="170"/>
      <c r="G26" s="170"/>
      <c r="H26" s="170"/>
      <c r="I26" s="170"/>
      <c r="J26" s="170"/>
      <c r="K26" s="170"/>
      <c r="L26" s="170"/>
    </row>
    <row r="27" spans="1:17" s="174" customFormat="1" hidden="1">
      <c r="A27" s="220"/>
      <c r="B27" s="220"/>
      <c r="C27" s="220"/>
      <c r="D27" s="220"/>
      <c r="E27" s="220"/>
      <c r="F27" s="170"/>
      <c r="G27" s="170"/>
      <c r="H27" s="170"/>
      <c r="I27" s="170"/>
      <c r="J27" s="170"/>
      <c r="K27" s="170"/>
      <c r="L27" s="170"/>
    </row>
    <row r="28" spans="1:17" hidden="1">
      <c r="F28" s="170"/>
      <c r="G28" s="170"/>
      <c r="H28" s="170"/>
      <c r="I28" s="170"/>
      <c r="J28" s="170"/>
      <c r="K28" s="170"/>
      <c r="L28" s="170"/>
    </row>
    <row r="29" spans="1:17" hidden="1">
      <c r="A29" s="174"/>
      <c r="B29" s="174" t="s">
        <v>79</v>
      </c>
      <c r="C29" s="174"/>
      <c r="D29" s="174"/>
      <c r="E29" s="174"/>
      <c r="F29" s="316"/>
      <c r="G29" s="316"/>
      <c r="H29" s="316"/>
      <c r="I29" s="174"/>
      <c r="J29" s="174"/>
      <c r="K29" s="170"/>
      <c r="L29" s="170"/>
    </row>
    <row r="30" spans="1:17" hidden="1">
      <c r="B30" s="317"/>
      <c r="C30" s="317"/>
      <c r="D30" s="317"/>
      <c r="E30" s="317"/>
      <c r="K30" s="170"/>
      <c r="L30" s="170"/>
    </row>
    <row r="31" spans="1:17">
      <c r="K31" s="170"/>
      <c r="L31" s="170"/>
    </row>
    <row r="32" spans="1:17">
      <c r="K32" s="170"/>
      <c r="L32" s="170"/>
    </row>
    <row r="33" spans="8:12">
      <c r="K33" s="170"/>
      <c r="L33" s="170"/>
    </row>
    <row r="34" spans="8:12">
      <c r="K34" s="170"/>
      <c r="L34" s="170"/>
    </row>
    <row r="35" spans="8:12">
      <c r="K35" s="170"/>
    </row>
    <row r="36" spans="8:12">
      <c r="K36" s="170"/>
    </row>
    <row r="41" spans="8:12">
      <c r="H41" s="318"/>
    </row>
    <row r="42" spans="8:12">
      <c r="H42" s="313"/>
    </row>
    <row r="43" spans="8:12">
      <c r="H43" s="313"/>
    </row>
    <row r="44" spans="8:12">
      <c r="H44" s="319"/>
    </row>
    <row r="62" spans="1:1">
      <c r="A62" s="221"/>
    </row>
    <row r="63" spans="1:1">
      <c r="A63" s="221"/>
    </row>
    <row r="64" spans="1:1">
      <c r="A64" s="221"/>
    </row>
    <row r="66" spans="1:1">
      <c r="A66" s="221"/>
    </row>
    <row r="67" spans="1:1">
      <c r="A67" s="221"/>
    </row>
    <row r="69" spans="1:1">
      <c r="A69" s="221"/>
    </row>
  </sheetData>
  <mergeCells count="9">
    <mergeCell ref="J10:J11"/>
    <mergeCell ref="K10:K11"/>
    <mergeCell ref="A4:N4"/>
    <mergeCell ref="D10:D11"/>
    <mergeCell ref="B10:B11"/>
    <mergeCell ref="A10:A11"/>
    <mergeCell ref="E10:E11"/>
    <mergeCell ref="F10:F11"/>
    <mergeCell ref="I10:I11"/>
  </mergeCells>
  <phoneticPr fontId="9"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093AA-CE58-48DD-B4C9-82527CB4498E}">
  <sheetPr codeName="Sheet2">
    <tabColor rgb="FF00B050"/>
  </sheetPr>
  <dimension ref="A1:BJ36"/>
  <sheetViews>
    <sheetView zoomScale="140" zoomScaleNormal="140" workbookViewId="0"/>
  </sheetViews>
  <sheetFormatPr defaultColWidth="9.42578125" defaultRowHeight="14.1"/>
  <cols>
    <col min="1" max="1" width="10.42578125" style="196" customWidth="1"/>
    <col min="2" max="2" width="9.42578125" style="196" customWidth="1"/>
    <col min="3" max="3" width="11.42578125" style="196" customWidth="1"/>
    <col min="4" max="4" width="28" style="196" customWidth="1"/>
    <col min="5" max="5" width="18" style="196" customWidth="1"/>
    <col min="6" max="6" width="10.140625" style="196" customWidth="1"/>
    <col min="7" max="7" width="10.140625" style="335" customWidth="1"/>
    <col min="8" max="8" width="28.85546875" style="196" customWidth="1"/>
    <col min="9" max="24" width="6.42578125" style="196" customWidth="1"/>
    <col min="25" max="26" width="9.42578125" style="196"/>
    <col min="27" max="30" width="7.42578125" style="196" customWidth="1"/>
    <col min="31" max="31" width="9.42578125" style="196" customWidth="1"/>
    <col min="32" max="32" width="7.42578125" style="196" customWidth="1"/>
    <col min="33" max="33" width="11.42578125" style="196" customWidth="1"/>
    <col min="34" max="42" width="7.42578125" style="196" customWidth="1"/>
    <col min="43" max="46" width="10.42578125" style="196" customWidth="1"/>
    <col min="47" max="47" width="9.85546875" style="196" customWidth="1"/>
    <col min="48" max="48" width="10.42578125" style="196" customWidth="1"/>
    <col min="49" max="49" width="21.42578125" style="196" customWidth="1"/>
    <col min="50" max="50" width="10.42578125" style="196" customWidth="1"/>
    <col min="51" max="55" width="7.42578125" style="196" customWidth="1"/>
    <col min="56" max="56" width="13.42578125" style="196" customWidth="1"/>
    <col min="57" max="60" width="7.42578125" style="196" customWidth="1"/>
    <col min="61" max="62" width="9.42578125" style="196" bestFit="1" customWidth="1"/>
    <col min="63" max="16382" width="9.42578125" style="196"/>
    <col min="16383" max="16384" width="9.42578125" style="196" bestFit="1"/>
  </cols>
  <sheetData>
    <row r="1" spans="1:62" s="462" customFormat="1">
      <c r="A1" s="464" t="s">
        <v>2</v>
      </c>
      <c r="B1" s="610"/>
      <c r="C1" s="611"/>
      <c r="D1" s="611"/>
      <c r="E1" s="611"/>
      <c r="F1" s="611"/>
      <c r="G1" s="611"/>
      <c r="H1" s="611"/>
      <c r="I1" s="611"/>
      <c r="J1" s="611"/>
      <c r="K1" s="611"/>
      <c r="L1" s="611"/>
      <c r="M1" s="611"/>
      <c r="N1" s="611"/>
      <c r="O1" s="611"/>
      <c r="P1" s="611"/>
      <c r="Q1" s="611"/>
      <c r="R1" s="611"/>
      <c r="S1" s="611"/>
      <c r="T1" s="611"/>
      <c r="U1" s="611"/>
      <c r="V1" s="611"/>
      <c r="W1" s="611"/>
      <c r="X1" s="611"/>
      <c r="Y1" s="611"/>
      <c r="Z1" s="611"/>
      <c r="AA1" s="611"/>
      <c r="AB1" s="611"/>
      <c r="AC1" s="611"/>
      <c r="AD1" s="611"/>
      <c r="AE1" s="611"/>
      <c r="AF1" s="611"/>
      <c r="AG1" s="611"/>
      <c r="AH1" s="611"/>
      <c r="AI1" s="611"/>
      <c r="AJ1" s="611"/>
      <c r="AK1" s="611"/>
      <c r="AL1" s="611"/>
      <c r="AM1" s="611"/>
      <c r="AN1" s="611"/>
      <c r="AO1" s="611"/>
      <c r="AP1" s="611"/>
      <c r="AQ1" s="611"/>
      <c r="AR1" s="611"/>
      <c r="AS1" s="611"/>
      <c r="AT1" s="611"/>
      <c r="AU1" s="611"/>
      <c r="AV1" s="611"/>
      <c r="AW1" s="611"/>
      <c r="AX1" s="611"/>
      <c r="AY1" s="611"/>
      <c r="AZ1" s="611"/>
      <c r="BA1" s="611"/>
      <c r="BB1" s="611"/>
      <c r="BC1" s="611"/>
      <c r="BD1" s="611"/>
      <c r="BE1" s="611"/>
      <c r="BF1" s="611"/>
      <c r="BG1" s="611"/>
      <c r="BH1" s="611"/>
      <c r="BI1" s="611"/>
      <c r="BJ1" s="611"/>
    </row>
    <row r="3" spans="1:62" ht="15.95">
      <c r="A3" s="504" t="str">
        <f>"Envelope - "&amp;Prototype!A3</f>
        <v>Envelope - Controlled Environment Horticulture</v>
      </c>
      <c r="B3" s="504"/>
      <c r="C3" s="504"/>
      <c r="D3" s="504"/>
      <c r="E3" s="504"/>
      <c r="F3" s="504"/>
      <c r="G3" s="504"/>
      <c r="H3" s="504"/>
      <c r="I3" s="504"/>
      <c r="J3" s="504"/>
      <c r="K3" s="504"/>
      <c r="L3" s="504"/>
      <c r="M3" s="504"/>
      <c r="N3" s="504"/>
      <c r="O3" s="504"/>
      <c r="P3" s="504"/>
      <c r="Q3" s="504"/>
      <c r="R3" s="504"/>
      <c r="S3" s="504"/>
      <c r="T3" s="504"/>
      <c r="U3" s="504"/>
      <c r="V3" s="504"/>
      <c r="W3" s="504"/>
      <c r="X3" s="504"/>
      <c r="Y3" s="212"/>
      <c r="Z3" s="212"/>
      <c r="AA3" s="212"/>
      <c r="AB3" s="212"/>
      <c r="AC3" s="212"/>
      <c r="AD3" s="212"/>
      <c r="AE3" s="212"/>
      <c r="AF3" s="212"/>
      <c r="AG3" s="212"/>
      <c r="AH3" s="212"/>
      <c r="AI3" s="212"/>
      <c r="AJ3" s="212"/>
      <c r="AK3" s="212"/>
      <c r="AL3" s="212"/>
      <c r="AM3" s="212"/>
      <c r="AN3" s="212"/>
      <c r="AO3" s="212"/>
      <c r="AP3" s="212"/>
      <c r="AQ3" s="212"/>
      <c r="AR3" s="212"/>
      <c r="AS3" s="212"/>
      <c r="AT3" s="212"/>
      <c r="AU3" s="212"/>
      <c r="AV3" s="212"/>
      <c r="AW3" s="212"/>
      <c r="AX3" s="212"/>
      <c r="AY3" s="212"/>
      <c r="AZ3" s="212"/>
      <c r="BA3" s="212"/>
      <c r="BB3" s="212"/>
      <c r="BC3" s="212"/>
      <c r="BD3" s="212"/>
      <c r="BE3" s="212"/>
      <c r="BF3" s="212"/>
      <c r="BG3" s="212"/>
      <c r="BH3" s="212"/>
      <c r="BI3" s="212"/>
      <c r="BJ3" s="212"/>
    </row>
    <row r="4" spans="1:62" ht="27.95">
      <c r="A4" s="336" t="s">
        <v>80</v>
      </c>
      <c r="B4" s="336" t="s">
        <v>81</v>
      </c>
      <c r="C4" s="336" t="s">
        <v>82</v>
      </c>
      <c r="D4" s="336" t="s">
        <v>83</v>
      </c>
      <c r="E4" s="336" t="s">
        <v>84</v>
      </c>
      <c r="F4" s="336" t="s">
        <v>85</v>
      </c>
      <c r="G4" s="336" t="s">
        <v>86</v>
      </c>
      <c r="H4" s="336" t="s">
        <v>87</v>
      </c>
      <c r="I4" s="336" t="s">
        <v>88</v>
      </c>
      <c r="J4" s="336" t="s">
        <v>89</v>
      </c>
      <c r="K4" s="336" t="s">
        <v>90</v>
      </c>
      <c r="L4" s="336" t="s">
        <v>91</v>
      </c>
      <c r="M4" s="336" t="s">
        <v>92</v>
      </c>
      <c r="N4" s="336" t="s">
        <v>93</v>
      </c>
      <c r="O4" s="336" t="s">
        <v>94</v>
      </c>
      <c r="P4" s="336" t="s">
        <v>95</v>
      </c>
      <c r="Q4" s="336" t="s">
        <v>96</v>
      </c>
      <c r="R4" s="336" t="s">
        <v>97</v>
      </c>
      <c r="S4" s="336" t="s">
        <v>98</v>
      </c>
      <c r="T4" s="336" t="s">
        <v>99</v>
      </c>
      <c r="U4" s="336" t="s">
        <v>100</v>
      </c>
      <c r="V4" s="336" t="s">
        <v>101</v>
      </c>
      <c r="W4" s="336" t="s">
        <v>102</v>
      </c>
      <c r="X4" s="336" t="s">
        <v>103</v>
      </c>
      <c r="Y4" s="212"/>
      <c r="Z4" s="212"/>
      <c r="AA4" s="212"/>
      <c r="AB4" s="212"/>
      <c r="AC4" s="212"/>
      <c r="AD4" s="212"/>
      <c r="AE4" s="212"/>
      <c r="AF4" s="212"/>
      <c r="AG4" s="212"/>
      <c r="AH4" s="212"/>
      <c r="AI4" s="212"/>
      <c r="AJ4" s="212"/>
      <c r="AK4" s="212"/>
      <c r="AL4" s="212"/>
      <c r="AM4" s="212"/>
      <c r="AN4" s="212"/>
      <c r="AO4" s="212"/>
      <c r="AP4" s="212"/>
      <c r="AQ4" s="212"/>
      <c r="AR4" s="212"/>
      <c r="AS4" s="212"/>
      <c r="AT4" s="212"/>
      <c r="AU4" s="212"/>
      <c r="AV4" s="212"/>
      <c r="AW4" s="212"/>
      <c r="AX4" s="212"/>
      <c r="AY4" s="212"/>
      <c r="AZ4" s="212"/>
      <c r="BA4" s="212"/>
      <c r="BB4" s="212"/>
      <c r="BC4" s="212"/>
      <c r="BD4" s="212"/>
      <c r="BE4" s="212"/>
      <c r="BF4" s="212"/>
      <c r="BG4" s="212"/>
      <c r="BH4" s="212"/>
      <c r="BI4" s="212"/>
      <c r="BJ4" s="212"/>
    </row>
    <row r="5" spans="1:62" ht="27.95">
      <c r="A5" s="495" t="s">
        <v>104</v>
      </c>
      <c r="B5" s="495" t="s">
        <v>105</v>
      </c>
      <c r="C5" s="495" t="s">
        <v>106</v>
      </c>
      <c r="D5" s="495" t="s">
        <v>107</v>
      </c>
      <c r="E5" s="495" t="s">
        <v>108</v>
      </c>
      <c r="F5" s="163" t="s">
        <v>109</v>
      </c>
      <c r="G5" s="163">
        <v>2001</v>
      </c>
      <c r="H5" s="163" t="s">
        <v>110</v>
      </c>
      <c r="I5" s="322">
        <v>0.29199999999999998</v>
      </c>
      <c r="J5" s="322">
        <v>0.29199999999999998</v>
      </c>
      <c r="K5" s="322">
        <v>0.29199999999999998</v>
      </c>
      <c r="L5" s="322">
        <v>0.29199999999999998</v>
      </c>
      <c r="M5" s="322">
        <v>0.29199999999999998</v>
      </c>
      <c r="N5" s="322">
        <v>0.29199999999999998</v>
      </c>
      <c r="O5" s="322">
        <v>0.29199999999999998</v>
      </c>
      <c r="P5" s="322">
        <v>0.29199999999999998</v>
      </c>
      <c r="Q5" s="322">
        <v>0.29199999999999998</v>
      </c>
      <c r="R5" s="322">
        <v>0.29199999999999998</v>
      </c>
      <c r="S5" s="322">
        <v>0.29199999999999998</v>
      </c>
      <c r="T5" s="322">
        <v>0.29199999999999998</v>
      </c>
      <c r="U5" s="322">
        <v>0.29199999999999998</v>
      </c>
      <c r="V5" s="322">
        <v>0.29199999999999998</v>
      </c>
      <c r="W5" s="322">
        <v>0.29199999999999998</v>
      </c>
      <c r="X5" s="322">
        <v>0.29199999999999998</v>
      </c>
      <c r="Y5" s="212"/>
      <c r="Z5" s="212"/>
      <c r="AA5" s="212"/>
      <c r="AB5" s="212"/>
      <c r="AC5" s="212"/>
      <c r="AD5" s="212"/>
      <c r="AE5" s="212"/>
      <c r="AF5" s="212"/>
      <c r="AG5" s="212"/>
      <c r="AH5" s="212"/>
      <c r="AI5" s="212"/>
      <c r="AJ5" s="212"/>
      <c r="AK5" s="212"/>
      <c r="AL5" s="212"/>
      <c r="AM5" s="212"/>
      <c r="AN5" s="212"/>
      <c r="AO5" s="212"/>
      <c r="AP5" s="212"/>
      <c r="AQ5" s="212"/>
      <c r="AR5" s="212"/>
      <c r="AS5" s="212"/>
      <c r="AT5" s="212"/>
      <c r="AU5" s="212"/>
      <c r="AV5" s="212"/>
      <c r="AW5" s="212"/>
      <c r="AX5" s="212"/>
      <c r="AY5" s="212"/>
      <c r="AZ5" s="212"/>
      <c r="BA5" s="212"/>
      <c r="BB5" s="212"/>
      <c r="BC5" s="212"/>
      <c r="BD5" s="212"/>
      <c r="BE5" s="212"/>
      <c r="BF5" s="212"/>
      <c r="BG5" s="212"/>
      <c r="BH5" s="212"/>
      <c r="BI5" s="212"/>
      <c r="BJ5" s="212"/>
    </row>
    <row r="6" spans="1:62">
      <c r="A6" s="495"/>
      <c r="B6" s="495"/>
      <c r="C6" s="495"/>
      <c r="D6" s="495"/>
      <c r="E6" s="495"/>
      <c r="F6" s="163" t="s">
        <v>111</v>
      </c>
      <c r="G6" s="248">
        <v>2025</v>
      </c>
      <c r="H6" s="248" t="s">
        <v>112</v>
      </c>
      <c r="I6" s="248">
        <v>9.8000000000000004E-2</v>
      </c>
      <c r="J6" s="248">
        <v>5.2999999999999999E-2</v>
      </c>
      <c r="K6" s="248">
        <v>9.8000000000000004E-2</v>
      </c>
      <c r="L6" s="248">
        <v>5.2999999999999999E-2</v>
      </c>
      <c r="M6" s="248">
        <v>5.2999999999999999E-2</v>
      </c>
      <c r="N6" s="248">
        <v>9.8000000000000004E-2</v>
      </c>
      <c r="O6" s="248">
        <v>9.8000000000000004E-2</v>
      </c>
      <c r="P6" s="248">
        <v>5.2999999999999999E-2</v>
      </c>
      <c r="Q6" s="248">
        <v>5.2999999999999999E-2</v>
      </c>
      <c r="R6" s="248">
        <v>5.2999999999999999E-2</v>
      </c>
      <c r="S6" s="248">
        <v>5.2999999999999999E-2</v>
      </c>
      <c r="T6" s="248">
        <v>5.2999999999999999E-2</v>
      </c>
      <c r="U6" s="248">
        <v>5.2999999999999999E-2</v>
      </c>
      <c r="V6" s="248">
        <v>5.2999999999999999E-2</v>
      </c>
      <c r="W6" s="248">
        <v>5.2999999999999999E-2</v>
      </c>
      <c r="X6" s="248">
        <v>5.2999999999999999E-2</v>
      </c>
      <c r="Y6" s="323"/>
      <c r="Z6" s="212"/>
      <c r="AA6" s="212"/>
      <c r="AB6" s="212"/>
      <c r="AC6" s="212"/>
      <c r="AD6" s="212"/>
      <c r="AE6" s="212"/>
      <c r="AF6" s="212"/>
      <c r="AG6" s="212"/>
      <c r="AH6" s="212"/>
      <c r="AI6" s="212"/>
      <c r="AJ6" s="212"/>
      <c r="AK6" s="212"/>
      <c r="AL6" s="212"/>
      <c r="AM6" s="212"/>
      <c r="AN6" s="212"/>
      <c r="AO6" s="212"/>
      <c r="AP6" s="212"/>
      <c r="AQ6" s="212"/>
      <c r="AR6" s="212"/>
      <c r="AS6" s="212"/>
      <c r="AT6" s="212"/>
      <c r="AU6" s="212"/>
      <c r="AV6" s="212"/>
      <c r="AW6" s="212"/>
      <c r="AX6" s="212"/>
      <c r="AY6" s="212"/>
      <c r="AZ6" s="212"/>
      <c r="BA6" s="212"/>
      <c r="BB6" s="212"/>
      <c r="BC6" s="212"/>
      <c r="BD6" s="212"/>
      <c r="BE6" s="212"/>
      <c r="BF6" s="212"/>
      <c r="BG6" s="212"/>
      <c r="BH6" s="212"/>
      <c r="BI6" s="212"/>
      <c r="BJ6" s="212"/>
    </row>
    <row r="7" spans="1:62">
      <c r="A7" s="495" t="s">
        <v>113</v>
      </c>
      <c r="B7" s="495" t="s">
        <v>105</v>
      </c>
      <c r="C7" s="495" t="s">
        <v>114</v>
      </c>
      <c r="D7" s="505" t="s">
        <v>115</v>
      </c>
      <c r="E7" s="495" t="s">
        <v>108</v>
      </c>
      <c r="F7" s="163" t="s">
        <v>109</v>
      </c>
      <c r="G7" s="163">
        <v>2001</v>
      </c>
      <c r="H7" s="163" t="s">
        <v>116</v>
      </c>
      <c r="I7" s="248">
        <v>6.5000000000000002E-2</v>
      </c>
      <c r="J7" s="248">
        <v>6.5000000000000002E-2</v>
      </c>
      <c r="K7" s="248">
        <v>6.5000000000000002E-2</v>
      </c>
      <c r="L7" s="248">
        <v>6.5000000000000002E-2</v>
      </c>
      <c r="M7" s="248">
        <v>6.5000000000000002E-2</v>
      </c>
      <c r="N7" s="248">
        <v>6.5000000000000002E-2</v>
      </c>
      <c r="O7" s="248">
        <v>6.5000000000000002E-2</v>
      </c>
      <c r="P7" s="248">
        <v>6.5000000000000002E-2</v>
      </c>
      <c r="Q7" s="248">
        <v>6.5000000000000002E-2</v>
      </c>
      <c r="R7" s="248">
        <v>6.5000000000000002E-2</v>
      </c>
      <c r="S7" s="248">
        <v>6.5000000000000002E-2</v>
      </c>
      <c r="T7" s="248">
        <v>6.5000000000000002E-2</v>
      </c>
      <c r="U7" s="248">
        <v>6.5000000000000002E-2</v>
      </c>
      <c r="V7" s="248">
        <v>6.5000000000000002E-2</v>
      </c>
      <c r="W7" s="248">
        <v>6.5000000000000002E-2</v>
      </c>
      <c r="X7" s="248">
        <v>6.5000000000000002E-2</v>
      </c>
      <c r="Y7" s="323"/>
      <c r="Z7" s="212"/>
      <c r="AA7" s="212"/>
      <c r="AB7" s="212"/>
      <c r="AC7" s="212"/>
      <c r="AD7" s="212"/>
      <c r="AE7" s="212"/>
      <c r="AF7" s="212"/>
      <c r="AG7" s="212"/>
      <c r="AH7" s="212"/>
      <c r="AI7" s="212"/>
      <c r="AJ7" s="212"/>
      <c r="AK7" s="212"/>
      <c r="AL7" s="212"/>
      <c r="AM7" s="212"/>
      <c r="AN7" s="212"/>
      <c r="AO7" s="212"/>
      <c r="AP7" s="212"/>
      <c r="AQ7" s="212"/>
      <c r="AR7" s="212"/>
      <c r="AS7" s="212"/>
      <c r="AT7" s="212"/>
      <c r="AU7" s="212"/>
      <c r="AV7" s="212"/>
      <c r="AW7" s="212"/>
      <c r="AX7" s="212"/>
      <c r="AY7" s="212"/>
      <c r="AZ7" s="212"/>
      <c r="BA7" s="212"/>
      <c r="BB7" s="212"/>
      <c r="BC7" s="212"/>
      <c r="BD7" s="212"/>
      <c r="BE7" s="212"/>
      <c r="BF7" s="212"/>
      <c r="BG7" s="212"/>
      <c r="BH7" s="212"/>
      <c r="BI7" s="212"/>
      <c r="BJ7" s="212"/>
    </row>
    <row r="8" spans="1:62">
      <c r="A8" s="495"/>
      <c r="B8" s="495"/>
      <c r="C8" s="495"/>
      <c r="D8" s="505"/>
      <c r="E8" s="495"/>
      <c r="F8" s="163" t="s">
        <v>111</v>
      </c>
      <c r="G8" s="248">
        <v>2025</v>
      </c>
      <c r="H8" s="248" t="s">
        <v>112</v>
      </c>
      <c r="I8" s="248">
        <v>3.7999999999999999E-2</v>
      </c>
      <c r="J8" s="248">
        <v>3.7999999999999999E-2</v>
      </c>
      <c r="K8" s="248">
        <v>3.7999999999999999E-2</v>
      </c>
      <c r="L8" s="248">
        <v>3.7999999999999999E-2</v>
      </c>
      <c r="M8" s="248">
        <v>3.7999999999999999E-2</v>
      </c>
      <c r="N8" s="248">
        <v>3.7999999999999999E-2</v>
      </c>
      <c r="O8" s="248">
        <v>3.7999999999999999E-2</v>
      </c>
      <c r="P8" s="248">
        <v>3.7999999999999999E-2</v>
      </c>
      <c r="Q8" s="248">
        <v>3.7999999999999999E-2</v>
      </c>
      <c r="R8" s="248">
        <v>3.7999999999999999E-2</v>
      </c>
      <c r="S8" s="248">
        <v>3.7999999999999999E-2</v>
      </c>
      <c r="T8" s="248">
        <v>3.7999999999999999E-2</v>
      </c>
      <c r="U8" s="248">
        <v>3.7999999999999999E-2</v>
      </c>
      <c r="V8" s="248">
        <v>3.7999999999999999E-2</v>
      </c>
      <c r="W8" s="248">
        <v>3.7999999999999999E-2</v>
      </c>
      <c r="X8" s="248">
        <v>3.7999999999999999E-2</v>
      </c>
      <c r="Y8" s="323"/>
      <c r="Z8" s="212"/>
      <c r="AA8" s="212"/>
      <c r="AB8" s="212"/>
      <c r="AC8" s="212"/>
      <c r="AD8" s="212"/>
      <c r="AE8" s="212"/>
      <c r="AF8" s="212"/>
      <c r="AG8" s="212"/>
      <c r="AH8" s="212"/>
      <c r="AI8" s="212"/>
      <c r="AJ8" s="212"/>
      <c r="AK8" s="212"/>
      <c r="AL8" s="212"/>
      <c r="AM8" s="212"/>
      <c r="AN8" s="212"/>
      <c r="AO8" s="212"/>
      <c r="AP8" s="212"/>
      <c r="AQ8" s="212"/>
      <c r="AR8" s="212"/>
      <c r="AS8" s="212"/>
      <c r="AT8" s="212"/>
      <c r="AU8" s="212"/>
      <c r="AV8" s="212"/>
      <c r="AW8" s="212"/>
      <c r="AX8" s="212"/>
      <c r="AY8" s="212"/>
      <c r="AZ8" s="212"/>
      <c r="BA8" s="212"/>
      <c r="BB8" s="212"/>
      <c r="BC8" s="212"/>
      <c r="BD8" s="212"/>
      <c r="BE8" s="212"/>
      <c r="BF8" s="212"/>
      <c r="BG8" s="212"/>
      <c r="BH8" s="212"/>
      <c r="BI8" s="212"/>
      <c r="BJ8" s="212"/>
    </row>
    <row r="9" spans="1:62" ht="56.1">
      <c r="A9" s="495" t="s">
        <v>117</v>
      </c>
      <c r="B9" s="495" t="s">
        <v>117</v>
      </c>
      <c r="C9" s="495" t="s">
        <v>118</v>
      </c>
      <c r="D9" s="163" t="s">
        <v>119</v>
      </c>
      <c r="E9" s="495" t="s">
        <v>108</v>
      </c>
      <c r="F9" s="163" t="s">
        <v>109</v>
      </c>
      <c r="G9" s="248">
        <v>2001</v>
      </c>
      <c r="H9" s="163" t="s">
        <v>116</v>
      </c>
      <c r="I9" s="163">
        <v>0.49</v>
      </c>
      <c r="J9" s="163">
        <v>0.49</v>
      </c>
      <c r="K9" s="163">
        <v>0.81</v>
      </c>
      <c r="L9" s="163">
        <v>0.81</v>
      </c>
      <c r="M9" s="163">
        <v>0.81</v>
      </c>
      <c r="N9" s="163">
        <v>0.81</v>
      </c>
      <c r="O9" s="163">
        <v>0.81</v>
      </c>
      <c r="P9" s="163">
        <v>0.81</v>
      </c>
      <c r="Q9" s="163">
        <v>0.81</v>
      </c>
      <c r="R9" s="163">
        <v>0.49</v>
      </c>
      <c r="S9" s="163">
        <v>0.49</v>
      </c>
      <c r="T9" s="163">
        <v>0.49</v>
      </c>
      <c r="U9" s="163">
        <v>0.49</v>
      </c>
      <c r="V9" s="163">
        <v>0.49</v>
      </c>
      <c r="W9" s="163">
        <v>0.49</v>
      </c>
      <c r="X9" s="163">
        <v>0.49</v>
      </c>
      <c r="Y9" s="323"/>
      <c r="Z9" s="212"/>
      <c r="AA9" s="212"/>
      <c r="AB9" s="212"/>
      <c r="AC9" s="212"/>
      <c r="AD9" s="212"/>
      <c r="AE9" s="212"/>
      <c r="AF9" s="212"/>
      <c r="AG9" s="212"/>
      <c r="AH9" s="212"/>
      <c r="AI9" s="212"/>
      <c r="AJ9" s="212"/>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c r="BI9" s="212"/>
      <c r="BJ9" s="212"/>
    </row>
    <row r="10" spans="1:62" ht="56.1">
      <c r="A10" s="495"/>
      <c r="B10" s="495"/>
      <c r="C10" s="495"/>
      <c r="D10" s="163" t="s">
        <v>120</v>
      </c>
      <c r="E10" s="495"/>
      <c r="F10" s="163" t="s">
        <v>111</v>
      </c>
      <c r="G10" s="248">
        <v>2025</v>
      </c>
      <c r="H10" s="248" t="s">
        <v>121</v>
      </c>
      <c r="I10" s="324">
        <v>0.36</v>
      </c>
      <c r="J10" s="324">
        <v>0.36</v>
      </c>
      <c r="K10" s="324">
        <v>0.36</v>
      </c>
      <c r="L10" s="324">
        <v>0.36</v>
      </c>
      <c r="M10" s="324">
        <v>0.36</v>
      </c>
      <c r="N10" s="324">
        <v>0.36</v>
      </c>
      <c r="O10" s="324">
        <v>0.36</v>
      </c>
      <c r="P10" s="324">
        <v>0.36</v>
      </c>
      <c r="Q10" s="324">
        <v>0.34</v>
      </c>
      <c r="R10" s="324">
        <v>0.36</v>
      </c>
      <c r="S10" s="324">
        <v>0.34</v>
      </c>
      <c r="T10" s="324">
        <v>0.34</v>
      </c>
      <c r="U10" s="324">
        <v>0.34</v>
      </c>
      <c r="V10" s="324">
        <v>0.34</v>
      </c>
      <c r="W10" s="324">
        <v>0.34</v>
      </c>
      <c r="X10" s="324">
        <v>0.36</v>
      </c>
      <c r="Y10" s="409"/>
      <c r="Z10" s="212"/>
      <c r="AA10" s="212"/>
      <c r="AB10" s="212"/>
      <c r="AC10" s="212"/>
      <c r="AD10" s="212"/>
      <c r="AE10" s="212"/>
      <c r="AF10" s="212"/>
      <c r="AG10" s="212"/>
      <c r="AH10" s="212"/>
      <c r="AI10" s="212"/>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c r="BI10" s="212"/>
      <c r="BJ10" s="212"/>
    </row>
    <row r="11" spans="1:62" ht="56.1">
      <c r="A11" s="495"/>
      <c r="B11" s="495" t="s">
        <v>117</v>
      </c>
      <c r="C11" s="495" t="s">
        <v>118</v>
      </c>
      <c r="D11" s="163" t="s">
        <v>119</v>
      </c>
      <c r="E11" s="495" t="s">
        <v>122</v>
      </c>
      <c r="F11" s="163" t="s">
        <v>109</v>
      </c>
      <c r="G11" s="248">
        <v>2001</v>
      </c>
      <c r="H11" s="163" t="s">
        <v>116</v>
      </c>
      <c r="I11" s="163">
        <v>0.49</v>
      </c>
      <c r="J11" s="163">
        <v>0.47</v>
      </c>
      <c r="K11" s="163">
        <v>0.61</v>
      </c>
      <c r="L11" s="163">
        <v>0.61</v>
      </c>
      <c r="M11" s="163">
        <v>0.61</v>
      </c>
      <c r="N11" s="163">
        <v>0.61</v>
      </c>
      <c r="O11" s="163">
        <v>0.61</v>
      </c>
      <c r="P11" s="163">
        <v>0.61</v>
      </c>
      <c r="Q11" s="163">
        <v>0.61</v>
      </c>
      <c r="R11" s="163">
        <v>0.47</v>
      </c>
      <c r="S11" s="163">
        <v>0.47</v>
      </c>
      <c r="T11" s="163">
        <v>0.47</v>
      </c>
      <c r="U11" s="163">
        <v>0.47</v>
      </c>
      <c r="V11" s="163">
        <v>0.46</v>
      </c>
      <c r="W11" s="163">
        <v>0.46</v>
      </c>
      <c r="X11" s="163">
        <v>0.49</v>
      </c>
      <c r="Y11" s="323"/>
      <c r="Z11" s="212"/>
      <c r="AA11" s="212"/>
      <c r="AB11" s="212"/>
      <c r="AC11" s="212"/>
      <c r="AD11" s="212"/>
      <c r="AE11" s="212"/>
      <c r="AF11" s="212"/>
      <c r="AG11" s="212"/>
      <c r="AH11" s="212"/>
      <c r="AI11" s="212"/>
      <c r="AJ11" s="212"/>
      <c r="AK11" s="212"/>
      <c r="AL11" s="212"/>
      <c r="AM11" s="212"/>
      <c r="AN11" s="212"/>
      <c r="AO11" s="212"/>
      <c r="AP11" s="212"/>
      <c r="AQ11" s="212"/>
      <c r="AR11" s="212"/>
      <c r="AS11" s="212"/>
      <c r="AT11" s="212"/>
      <c r="AU11" s="212"/>
      <c r="AV11" s="212"/>
      <c r="AW11" s="212"/>
      <c r="AX11" s="212"/>
      <c r="AY11" s="212"/>
      <c r="AZ11" s="212"/>
      <c r="BA11" s="212"/>
      <c r="BB11" s="212"/>
      <c r="BC11" s="212"/>
      <c r="BD11" s="212"/>
      <c r="BE11" s="212"/>
      <c r="BF11" s="212"/>
      <c r="BG11" s="212"/>
      <c r="BH11" s="212"/>
      <c r="BI11" s="212"/>
      <c r="BJ11" s="212"/>
    </row>
    <row r="12" spans="1:62" ht="56.1">
      <c r="A12" s="495"/>
      <c r="B12" s="495"/>
      <c r="C12" s="495"/>
      <c r="D12" s="163" t="s">
        <v>120</v>
      </c>
      <c r="E12" s="495"/>
      <c r="F12" s="163" t="s">
        <v>111</v>
      </c>
      <c r="G12" s="248">
        <v>2025</v>
      </c>
      <c r="H12" s="248" t="s">
        <v>121</v>
      </c>
      <c r="I12" s="325">
        <v>0.25</v>
      </c>
      <c r="J12" s="325">
        <v>0.25</v>
      </c>
      <c r="K12" s="325">
        <v>0.25</v>
      </c>
      <c r="L12" s="325">
        <v>0.25</v>
      </c>
      <c r="M12" s="325">
        <v>0.25</v>
      </c>
      <c r="N12" s="325">
        <v>0.25</v>
      </c>
      <c r="O12" s="325">
        <v>0.25</v>
      </c>
      <c r="P12" s="325">
        <v>0.25</v>
      </c>
      <c r="Q12" s="325">
        <v>0.22</v>
      </c>
      <c r="R12" s="325">
        <v>0.25</v>
      </c>
      <c r="S12" s="325">
        <v>0.22</v>
      </c>
      <c r="T12" s="325">
        <v>0.22</v>
      </c>
      <c r="U12" s="325">
        <v>0.22</v>
      </c>
      <c r="V12" s="325">
        <v>0.22</v>
      </c>
      <c r="W12" s="325">
        <v>0.22</v>
      </c>
      <c r="X12" s="325">
        <v>0.25</v>
      </c>
      <c r="Y12" s="323"/>
      <c r="Z12" s="212"/>
      <c r="AA12" s="212"/>
      <c r="AB12" s="212"/>
      <c r="AC12" s="212"/>
      <c r="AD12" s="212"/>
      <c r="AE12" s="212"/>
      <c r="AF12" s="212"/>
      <c r="AG12" s="212"/>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212"/>
      <c r="BJ12" s="212"/>
    </row>
    <row r="13" spans="1:62">
      <c r="A13" s="158"/>
      <c r="B13" s="158"/>
      <c r="C13" s="158"/>
      <c r="D13" s="158"/>
      <c r="E13" s="320"/>
      <c r="F13" s="320"/>
      <c r="G13" s="326"/>
      <c r="H13" s="320"/>
      <c r="I13" s="320"/>
      <c r="J13" s="320"/>
      <c r="K13" s="320"/>
      <c r="L13" s="320"/>
      <c r="M13" s="320"/>
      <c r="N13" s="320"/>
      <c r="O13" s="320"/>
      <c r="P13" s="320"/>
      <c r="Q13" s="320"/>
      <c r="R13" s="320"/>
      <c r="S13" s="320"/>
      <c r="T13" s="320"/>
      <c r="U13" s="320"/>
      <c r="V13" s="320"/>
      <c r="W13" s="320"/>
      <c r="X13" s="320"/>
      <c r="Y13" s="212"/>
      <c r="Z13" s="212"/>
      <c r="AA13" s="212"/>
      <c r="AB13" s="212"/>
      <c r="AC13" s="212"/>
      <c r="AD13" s="212"/>
      <c r="AE13" s="212"/>
      <c r="AF13" s="212"/>
      <c r="AG13" s="212"/>
      <c r="AH13" s="212"/>
      <c r="AI13" s="212"/>
      <c r="AJ13" s="212"/>
      <c r="AK13" s="212"/>
      <c r="AL13" s="212"/>
      <c r="AM13" s="212"/>
      <c r="AN13" s="212"/>
      <c r="AO13" s="212"/>
      <c r="AP13" s="212"/>
      <c r="AQ13" s="212"/>
      <c r="AR13" s="212"/>
      <c r="AS13" s="212"/>
      <c r="AT13" s="212"/>
      <c r="AU13" s="212"/>
      <c r="AV13" s="212"/>
      <c r="AW13" s="212"/>
      <c r="AX13" s="212"/>
      <c r="AY13" s="212"/>
      <c r="AZ13" s="212"/>
      <c r="BA13" s="212"/>
      <c r="BB13" s="212"/>
      <c r="BC13" s="212"/>
      <c r="BD13" s="212"/>
      <c r="BE13" s="212"/>
      <c r="BF13" s="212"/>
      <c r="BG13" s="212"/>
      <c r="BH13" s="212"/>
      <c r="BI13" s="212"/>
      <c r="BJ13" s="212"/>
    </row>
    <row r="14" spans="1:62">
      <c r="A14" s="158"/>
      <c r="B14" s="158"/>
      <c r="C14" s="158"/>
      <c r="D14" s="158"/>
      <c r="E14" s="320"/>
      <c r="F14" s="320"/>
      <c r="G14" s="326"/>
      <c r="H14" s="320"/>
      <c r="I14" s="320"/>
      <c r="J14" s="320"/>
      <c r="K14" s="320"/>
      <c r="L14" s="320"/>
      <c r="M14" s="320"/>
      <c r="N14" s="320"/>
      <c r="O14" s="320"/>
      <c r="P14" s="320"/>
      <c r="Q14" s="320"/>
      <c r="R14" s="320"/>
      <c r="S14" s="320"/>
      <c r="T14" s="320"/>
      <c r="U14" s="320"/>
      <c r="V14" s="320"/>
      <c r="W14" s="320"/>
      <c r="X14" s="320"/>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row>
    <row r="15" spans="1:62">
      <c r="A15" s="158"/>
      <c r="B15" s="158"/>
      <c r="C15" s="158"/>
      <c r="D15" s="158"/>
      <c r="E15" s="320"/>
      <c r="F15" s="320"/>
      <c r="G15" s="326"/>
      <c r="H15" s="320"/>
      <c r="I15" s="320"/>
      <c r="J15" s="320"/>
      <c r="K15" s="320"/>
      <c r="L15" s="320"/>
      <c r="M15" s="320"/>
      <c r="N15" s="320"/>
      <c r="O15" s="320"/>
      <c r="P15" s="320"/>
      <c r="Q15" s="320"/>
      <c r="R15" s="320"/>
      <c r="S15" s="320"/>
      <c r="T15" s="320"/>
      <c r="U15" s="320"/>
      <c r="V15" s="320"/>
      <c r="W15" s="320"/>
      <c r="X15" s="320"/>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12"/>
      <c r="AV15" s="212"/>
      <c r="AW15" s="212"/>
      <c r="AX15" s="212"/>
      <c r="AY15" s="212"/>
      <c r="AZ15" s="212"/>
      <c r="BA15" s="212"/>
      <c r="BB15" s="212"/>
      <c r="BC15" s="212"/>
      <c r="BD15" s="212"/>
      <c r="BE15" s="212"/>
      <c r="BF15" s="212"/>
      <c r="BG15" s="212"/>
      <c r="BH15" s="212"/>
      <c r="BI15" s="212"/>
      <c r="BJ15" s="212"/>
    </row>
    <row r="16" spans="1:62" ht="15.95">
      <c r="A16" s="158"/>
      <c r="B16" s="158"/>
      <c r="C16" s="158"/>
      <c r="D16" s="158"/>
      <c r="E16" s="494" t="s">
        <v>123</v>
      </c>
      <c r="F16" s="494"/>
      <c r="G16" s="494"/>
      <c r="H16" s="494"/>
      <c r="I16" s="494"/>
      <c r="J16" s="494"/>
      <c r="K16" s="327"/>
      <c r="L16" s="327"/>
      <c r="M16" s="328"/>
      <c r="N16" s="328"/>
      <c r="O16" s="328"/>
      <c r="P16" s="328"/>
      <c r="Q16" s="328"/>
      <c r="R16" s="328"/>
      <c r="S16" s="328"/>
      <c r="T16" s="328"/>
      <c r="U16" s="328"/>
      <c r="V16" s="328"/>
      <c r="W16" s="328"/>
      <c r="X16" s="328"/>
      <c r="Y16" s="212"/>
      <c r="Z16" s="212"/>
      <c r="AA16" s="212"/>
      <c r="AB16" s="212"/>
      <c r="AC16" s="212"/>
      <c r="AD16" s="212"/>
      <c r="AE16" s="212"/>
      <c r="AF16" s="212"/>
      <c r="AG16" s="212"/>
      <c r="AH16" s="212"/>
      <c r="AI16" s="212"/>
      <c r="AJ16" s="212"/>
      <c r="AK16" s="212"/>
      <c r="AL16" s="212"/>
      <c r="AM16" s="212"/>
      <c r="AN16" s="212"/>
      <c r="AO16" s="212"/>
      <c r="AP16" s="212"/>
      <c r="AQ16" s="212"/>
      <c r="AR16" s="212"/>
      <c r="AS16" s="212"/>
      <c r="AT16" s="212"/>
      <c r="AU16" s="212"/>
      <c r="AV16" s="212"/>
      <c r="AW16" s="212"/>
      <c r="AX16" s="212"/>
      <c r="AY16" s="212"/>
      <c r="AZ16" s="212"/>
      <c r="BA16" s="212"/>
      <c r="BB16" s="212"/>
      <c r="BC16" s="212"/>
      <c r="BD16" s="212"/>
      <c r="BE16" s="212"/>
      <c r="BF16" s="212"/>
      <c r="BG16" s="212"/>
      <c r="BH16" s="212"/>
      <c r="BI16" s="212"/>
      <c r="BJ16" s="212"/>
    </row>
    <row r="17" spans="1:62" ht="84">
      <c r="A17" s="158"/>
      <c r="B17" s="158"/>
      <c r="C17" s="158"/>
      <c r="D17" s="215"/>
      <c r="E17" s="225"/>
      <c r="F17" s="225" t="s">
        <v>85</v>
      </c>
      <c r="G17" s="225" t="s">
        <v>124</v>
      </c>
      <c r="H17" s="225" t="s">
        <v>125</v>
      </c>
      <c r="I17" s="496" t="s">
        <v>126</v>
      </c>
      <c r="J17" s="497"/>
      <c r="K17" s="497"/>
      <c r="L17" s="497"/>
      <c r="M17" s="497"/>
      <c r="N17" s="497"/>
      <c r="O17" s="497"/>
      <c r="P17" s="497"/>
      <c r="Q17" s="497"/>
      <c r="R17" s="497"/>
      <c r="S17" s="497"/>
      <c r="T17" s="497"/>
      <c r="U17" s="497"/>
      <c r="V17" s="497"/>
      <c r="W17" s="497"/>
      <c r="X17" s="498"/>
      <c r="Y17" s="212"/>
      <c r="Z17" s="212"/>
      <c r="AA17" s="212"/>
      <c r="AB17" s="212"/>
      <c r="AC17" s="212"/>
      <c r="AD17" s="212"/>
      <c r="AE17" s="212"/>
      <c r="AF17" s="212"/>
      <c r="AG17" s="212"/>
      <c r="AH17" s="212"/>
      <c r="AI17" s="212"/>
      <c r="AJ17" s="212"/>
      <c r="AK17" s="212"/>
      <c r="AL17" s="212"/>
      <c r="AM17" s="212"/>
      <c r="AN17" s="212"/>
      <c r="AO17" s="212"/>
      <c r="AP17" s="212"/>
      <c r="AQ17" s="212"/>
      <c r="AR17" s="212"/>
      <c r="AS17" s="212"/>
      <c r="AT17" s="212"/>
      <c r="AU17" s="212"/>
      <c r="AV17" s="212"/>
      <c r="AW17" s="212"/>
      <c r="AX17" s="212"/>
      <c r="AY17" s="212"/>
      <c r="AZ17" s="212"/>
      <c r="BA17" s="212"/>
      <c r="BB17" s="212"/>
      <c r="BC17" s="212"/>
      <c r="BD17" s="212"/>
      <c r="BE17" s="212"/>
      <c r="BF17" s="212"/>
      <c r="BG17" s="212"/>
      <c r="BH17" s="212"/>
      <c r="BI17" s="212"/>
      <c r="BJ17" s="212"/>
    </row>
    <row r="18" spans="1:62" ht="27.95">
      <c r="A18" s="158"/>
      <c r="B18" s="158"/>
      <c r="C18" s="158"/>
      <c r="D18" s="215"/>
      <c r="E18" s="499" t="s">
        <v>123</v>
      </c>
      <c r="F18" s="224" t="s">
        <v>109</v>
      </c>
      <c r="G18" s="224">
        <v>1.1000000000000001</v>
      </c>
      <c r="H18" s="224" t="s">
        <v>127</v>
      </c>
      <c r="I18" s="500">
        <f>R23</f>
        <v>0.76840689655172423</v>
      </c>
      <c r="J18" s="501"/>
      <c r="K18" s="501"/>
      <c r="L18" s="501"/>
      <c r="M18" s="501"/>
      <c r="N18" s="501"/>
      <c r="O18" s="501"/>
      <c r="P18" s="501"/>
      <c r="Q18" s="501"/>
      <c r="R18" s="501"/>
      <c r="S18" s="501"/>
      <c r="T18" s="501"/>
      <c r="U18" s="501"/>
      <c r="V18" s="501"/>
      <c r="W18" s="501"/>
      <c r="X18" s="50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2"/>
      <c r="BA18" s="212"/>
      <c r="BB18" s="212"/>
      <c r="BC18" s="212"/>
      <c r="BD18" s="212"/>
      <c r="BE18" s="212"/>
      <c r="BF18" s="212"/>
      <c r="BG18" s="212"/>
      <c r="BH18" s="212"/>
      <c r="BI18" s="212"/>
      <c r="BJ18" s="212"/>
    </row>
    <row r="19" spans="1:62" ht="27.95">
      <c r="A19" s="158"/>
      <c r="B19" s="158"/>
      <c r="C19" s="158"/>
      <c r="D19" s="158"/>
      <c r="E19" s="499"/>
      <c r="F19" s="224" t="s">
        <v>111</v>
      </c>
      <c r="G19" s="224">
        <v>0.6</v>
      </c>
      <c r="H19" s="224" t="s">
        <v>127</v>
      </c>
      <c r="I19" s="500">
        <f>R27</f>
        <v>0.41913103448275857</v>
      </c>
      <c r="J19" s="501"/>
      <c r="K19" s="501"/>
      <c r="L19" s="501"/>
      <c r="M19" s="501"/>
      <c r="N19" s="501"/>
      <c r="O19" s="501"/>
      <c r="P19" s="501"/>
      <c r="Q19" s="501"/>
      <c r="R19" s="501"/>
      <c r="S19" s="501"/>
      <c r="T19" s="501"/>
      <c r="U19" s="501"/>
      <c r="V19" s="501"/>
      <c r="W19" s="501"/>
      <c r="X19" s="502"/>
      <c r="Y19" s="212"/>
      <c r="Z19" s="212"/>
      <c r="AA19" s="212"/>
      <c r="AB19" s="212"/>
      <c r="AC19" s="212"/>
      <c r="AD19" s="212"/>
      <c r="AE19" s="212"/>
      <c r="AF19" s="212"/>
      <c r="AG19" s="212"/>
      <c r="AH19" s="212"/>
      <c r="AI19" s="212"/>
      <c r="AJ19" s="212"/>
      <c r="AK19" s="212"/>
      <c r="AL19" s="212"/>
      <c r="AM19" s="212"/>
      <c r="AN19" s="212"/>
      <c r="AO19" s="212"/>
      <c r="AP19" s="212"/>
      <c r="AQ19" s="212"/>
      <c r="AR19" s="212"/>
      <c r="AS19" s="212"/>
      <c r="AT19" s="212"/>
      <c r="AU19" s="212"/>
      <c r="AV19" s="212"/>
      <c r="AW19" s="212"/>
      <c r="AX19" s="212"/>
      <c r="AY19" s="212"/>
      <c r="AZ19" s="212"/>
      <c r="BA19" s="212"/>
      <c r="BB19" s="212"/>
      <c r="BC19" s="212"/>
      <c r="BD19" s="212"/>
      <c r="BE19" s="212"/>
      <c r="BF19" s="212"/>
      <c r="BG19" s="212"/>
      <c r="BH19" s="212"/>
      <c r="BI19" s="212"/>
      <c r="BJ19" s="212"/>
    </row>
    <row r="20" spans="1:62" ht="111.95">
      <c r="A20" s="212"/>
      <c r="B20" s="212"/>
      <c r="C20" s="212"/>
      <c r="D20" s="212"/>
      <c r="E20" s="329" t="s">
        <v>128</v>
      </c>
      <c r="F20" s="287"/>
      <c r="G20" s="410"/>
      <c r="H20" s="209"/>
      <c r="I20" s="209"/>
      <c r="J20" s="209"/>
      <c r="K20" s="209"/>
      <c r="L20" s="209"/>
      <c r="M20" s="209"/>
      <c r="N20" s="212"/>
      <c r="O20" s="212"/>
      <c r="P20" s="212"/>
      <c r="Q20" s="212"/>
      <c r="R20" s="212"/>
      <c r="S20" s="212"/>
      <c r="T20" s="212"/>
      <c r="U20" s="212"/>
      <c r="V20" s="212"/>
      <c r="W20" s="212"/>
      <c r="X20" s="212"/>
      <c r="Y20" s="212"/>
      <c r="Z20" s="212"/>
      <c r="AA20" s="212"/>
      <c r="AB20" s="212"/>
      <c r="AC20" s="212"/>
      <c r="AD20" s="212"/>
      <c r="AE20" s="212"/>
      <c r="AF20" s="212"/>
      <c r="AG20" s="212"/>
      <c r="AH20" s="212"/>
      <c r="AI20" s="212"/>
      <c r="AJ20" s="212"/>
      <c r="AK20" s="212"/>
      <c r="AL20" s="212"/>
      <c r="AM20" s="212"/>
      <c r="AN20" s="212"/>
      <c r="AO20" s="212"/>
      <c r="AP20" s="212"/>
      <c r="AQ20" s="212"/>
      <c r="AR20" s="212"/>
      <c r="AS20" s="212"/>
      <c r="AT20" s="212"/>
      <c r="AU20" s="212"/>
      <c r="AV20" s="212"/>
      <c r="AW20" s="212"/>
      <c r="AX20" s="212"/>
      <c r="AY20" s="212"/>
      <c r="AZ20" s="212"/>
      <c r="BA20" s="212"/>
      <c r="BB20" s="212"/>
      <c r="BC20" s="212"/>
      <c r="BD20" s="212"/>
      <c r="BE20" s="212"/>
      <c r="BF20" s="212"/>
      <c r="BG20" s="212"/>
      <c r="BH20" s="212"/>
      <c r="BI20" s="212"/>
      <c r="BJ20" s="212"/>
    </row>
    <row r="21" spans="1:62" ht="48">
      <c r="A21" s="212"/>
      <c r="B21" s="212"/>
      <c r="C21" s="212"/>
      <c r="D21" s="212"/>
      <c r="E21" s="330" t="s">
        <v>129</v>
      </c>
      <c r="F21" s="209"/>
      <c r="G21" s="209"/>
      <c r="H21" s="212"/>
      <c r="I21" s="209"/>
      <c r="J21" s="209"/>
      <c r="K21" s="209"/>
      <c r="L21" s="212"/>
      <c r="M21" s="212"/>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212"/>
      <c r="AM21" s="212"/>
      <c r="AN21" s="212"/>
      <c r="AO21" s="212"/>
      <c r="AP21" s="212"/>
      <c r="AQ21" s="212"/>
      <c r="AR21" s="212"/>
      <c r="AS21" s="212"/>
      <c r="AT21" s="212"/>
      <c r="AU21" s="212"/>
      <c r="AV21" s="212"/>
      <c r="AW21" s="212"/>
      <c r="AX21" s="212"/>
      <c r="AY21" s="212"/>
      <c r="AZ21" s="212"/>
      <c r="BA21" s="212"/>
      <c r="BB21" s="212"/>
      <c r="BC21" s="212"/>
      <c r="BD21" s="212"/>
      <c r="BE21" s="212"/>
      <c r="BF21" s="212"/>
      <c r="BG21" s="212"/>
      <c r="BH21" s="212"/>
      <c r="BI21" s="212"/>
      <c r="BJ21" s="212"/>
    </row>
    <row r="22" spans="1:62" ht="42">
      <c r="A22" s="212"/>
      <c r="B22" s="212"/>
      <c r="C22" s="212"/>
      <c r="D22" s="212"/>
      <c r="E22" s="330"/>
      <c r="F22" s="209"/>
      <c r="G22" s="209"/>
      <c r="H22" s="494" t="s">
        <v>130</v>
      </c>
      <c r="I22" s="494"/>
      <c r="J22" s="438"/>
      <c r="K22" s="438"/>
      <c r="L22" s="212"/>
      <c r="M22" s="212"/>
      <c r="N22" s="212"/>
      <c r="O22" s="212"/>
      <c r="P22" s="225" t="s">
        <v>131</v>
      </c>
      <c r="Q22" s="225" t="s">
        <v>132</v>
      </c>
      <c r="R22" s="225" t="s">
        <v>133</v>
      </c>
      <c r="S22" s="212"/>
      <c r="T22" s="212"/>
      <c r="U22" s="212"/>
      <c r="V22" s="212"/>
      <c r="W22" s="212"/>
      <c r="X22" s="212"/>
      <c r="Y22" s="212"/>
      <c r="Z22" s="212"/>
      <c r="AA22" s="212"/>
      <c r="AB22" s="212"/>
      <c r="AC22" s="212"/>
      <c r="AD22" s="212"/>
      <c r="AE22" s="212"/>
      <c r="AF22" s="212"/>
      <c r="AG22" s="212"/>
      <c r="AH22" s="212"/>
      <c r="AI22" s="212"/>
      <c r="AJ22" s="212"/>
      <c r="AK22" s="212"/>
      <c r="AL22" s="212"/>
      <c r="AM22" s="212"/>
      <c r="AN22" s="212"/>
      <c r="AO22" s="212"/>
      <c r="AP22" s="212"/>
      <c r="AQ22" s="212"/>
      <c r="AR22" s="212"/>
      <c r="AS22" s="212"/>
      <c r="AT22" s="212"/>
      <c r="AU22" s="212"/>
      <c r="AV22" s="212"/>
      <c r="AW22" s="212"/>
      <c r="AX22" s="212"/>
      <c r="AY22" s="212"/>
      <c r="AZ22" s="212"/>
      <c r="BA22" s="212"/>
      <c r="BB22" s="212"/>
      <c r="BC22" s="212"/>
      <c r="BD22" s="212"/>
      <c r="BE22" s="212"/>
      <c r="BF22" s="212"/>
      <c r="BG22" s="212"/>
      <c r="BH22" s="212"/>
      <c r="BI22" s="212"/>
      <c r="BJ22" s="212"/>
    </row>
    <row r="23" spans="1:62" ht="15">
      <c r="A23" s="212"/>
      <c r="B23" s="212"/>
      <c r="C23" s="212"/>
      <c r="D23" s="212"/>
      <c r="E23" s="330"/>
      <c r="F23" s="209"/>
      <c r="G23" s="209"/>
      <c r="H23" s="225" t="s">
        <v>134</v>
      </c>
      <c r="I23" s="224">
        <f>Prototype!B16</f>
        <v>14</v>
      </c>
      <c r="J23" s="209"/>
      <c r="K23" s="209"/>
      <c r="L23" s="212"/>
      <c r="M23" s="212"/>
      <c r="N23" s="212"/>
      <c r="O23" s="333">
        <v>1.1000000000000001</v>
      </c>
      <c r="P23" s="224">
        <f>$I$29*O23</f>
        <v>0.12320000000000002</v>
      </c>
      <c r="Q23" s="224">
        <f>P23*$I$26</f>
        <v>1200.4608000000001</v>
      </c>
      <c r="R23" s="224">
        <f>P23*$I$28</f>
        <v>0.76840689655172423</v>
      </c>
      <c r="S23" s="212"/>
      <c r="T23" s="212"/>
      <c r="U23" s="212"/>
      <c r="V23" s="212"/>
      <c r="W23" s="212"/>
      <c r="X23" s="212"/>
      <c r="Y23" s="212"/>
      <c r="Z23" s="212"/>
      <c r="AA23" s="212"/>
      <c r="AB23" s="212"/>
      <c r="AC23" s="212"/>
      <c r="AD23" s="212"/>
      <c r="AE23" s="212"/>
      <c r="AF23" s="212"/>
      <c r="AG23" s="212"/>
      <c r="AH23" s="212"/>
      <c r="AI23" s="212"/>
      <c r="AJ23" s="212"/>
      <c r="AK23" s="212"/>
      <c r="AL23" s="212"/>
      <c r="AM23" s="212"/>
      <c r="AN23" s="212"/>
      <c r="AO23" s="212"/>
      <c r="AP23" s="212"/>
      <c r="AQ23" s="212"/>
      <c r="AR23" s="212"/>
      <c r="AS23" s="212"/>
      <c r="AT23" s="212"/>
      <c r="AU23" s="212"/>
      <c r="AV23" s="212"/>
      <c r="AW23" s="212"/>
      <c r="AX23" s="212"/>
      <c r="AY23" s="212"/>
      <c r="AZ23" s="212"/>
      <c r="BA23" s="212"/>
      <c r="BB23" s="212"/>
      <c r="BC23" s="212"/>
      <c r="BD23" s="212"/>
      <c r="BE23" s="212"/>
      <c r="BF23" s="212"/>
      <c r="BG23" s="212"/>
      <c r="BH23" s="212"/>
      <c r="BI23" s="212"/>
      <c r="BJ23" s="212"/>
    </row>
    <row r="24" spans="1:62">
      <c r="A24" s="212"/>
      <c r="B24" s="212"/>
      <c r="C24" s="212"/>
      <c r="D24" s="212"/>
      <c r="E24" s="212"/>
      <c r="F24" s="212"/>
      <c r="G24" s="331"/>
      <c r="H24" s="225" t="s">
        <v>135</v>
      </c>
      <c r="I24" s="224">
        <f>Zones!F17</f>
        <v>25515</v>
      </c>
      <c r="J24" s="212"/>
      <c r="K24" s="212"/>
      <c r="L24" s="212"/>
      <c r="M24" s="212"/>
      <c r="N24" s="212"/>
      <c r="O24" s="333">
        <v>1.1000000000000001</v>
      </c>
      <c r="P24" s="224">
        <f>$I$29*O24</f>
        <v>0.12320000000000002</v>
      </c>
      <c r="Q24" s="224">
        <f>P24*$I$26</f>
        <v>1200.4608000000001</v>
      </c>
      <c r="R24" s="224">
        <f>P24*$I$28</f>
        <v>0.76840689655172423</v>
      </c>
      <c r="S24" s="212"/>
      <c r="T24" s="212"/>
      <c r="U24" s="212"/>
      <c r="V24" s="212"/>
      <c r="W24" s="212"/>
      <c r="X24" s="212"/>
      <c r="Y24" s="212"/>
      <c r="Z24" s="212"/>
      <c r="AA24" s="212"/>
      <c r="AB24" s="212"/>
      <c r="AC24" s="212"/>
      <c r="AD24" s="212"/>
      <c r="AE24" s="212"/>
      <c r="AF24" s="212"/>
      <c r="AG24" s="212"/>
      <c r="AH24" s="212"/>
      <c r="AI24" s="212"/>
      <c r="AJ24" s="212"/>
      <c r="AK24" s="212"/>
      <c r="AL24" s="212"/>
      <c r="AM24" s="212"/>
      <c r="AN24" s="212"/>
      <c r="AO24" s="212"/>
      <c r="AP24" s="212"/>
      <c r="AQ24" s="212"/>
      <c r="AR24" s="212"/>
      <c r="AS24" s="212"/>
      <c r="AT24" s="212"/>
      <c r="AU24" s="212"/>
      <c r="AV24" s="212"/>
      <c r="AW24" s="212"/>
      <c r="AX24" s="212"/>
      <c r="AY24" s="212"/>
      <c r="AZ24" s="212"/>
      <c r="BA24" s="212"/>
      <c r="BB24" s="212"/>
      <c r="BC24" s="212"/>
      <c r="BD24" s="212"/>
      <c r="BE24" s="212"/>
      <c r="BF24" s="212"/>
      <c r="BG24" s="212"/>
      <c r="BH24" s="212"/>
      <c r="BI24" s="212"/>
      <c r="BJ24" s="212"/>
    </row>
    <row r="25" spans="1:62">
      <c r="A25" s="212"/>
      <c r="B25" s="212"/>
      <c r="C25" s="212"/>
      <c r="D25" s="212"/>
      <c r="E25" s="212"/>
      <c r="F25" s="158"/>
      <c r="G25" s="331"/>
      <c r="H25" s="225" t="s">
        <v>136</v>
      </c>
      <c r="I25" s="224">
        <f>2*Zones!E20+2*Zones!F20</f>
        <v>696</v>
      </c>
      <c r="J25" s="212"/>
      <c r="K25" s="212"/>
      <c r="L25" s="212"/>
      <c r="M25" s="212"/>
      <c r="N25" s="212"/>
      <c r="O25" s="333">
        <v>1.1000000000000001</v>
      </c>
      <c r="P25" s="224">
        <f>$I$29*O25</f>
        <v>0.12320000000000002</v>
      </c>
      <c r="Q25" s="224">
        <f>P25*$I$26</f>
        <v>1200.4608000000001</v>
      </c>
      <c r="R25" s="224">
        <f>P25*$I$28</f>
        <v>0.76840689655172423</v>
      </c>
      <c r="S25" s="212"/>
      <c r="T25" s="212"/>
      <c r="U25" s="212"/>
      <c r="V25" s="212"/>
      <c r="W25" s="212"/>
      <c r="X25" s="212"/>
      <c r="Y25" s="212"/>
      <c r="Z25" s="212"/>
      <c r="AA25" s="212"/>
      <c r="AB25" s="212"/>
      <c r="AC25" s="212"/>
      <c r="AD25" s="212"/>
      <c r="AE25" s="212"/>
      <c r="AF25" s="212"/>
      <c r="AG25" s="212"/>
      <c r="AH25" s="212"/>
      <c r="AI25" s="212"/>
      <c r="AJ25" s="212"/>
      <c r="AK25" s="212"/>
      <c r="AL25" s="212"/>
      <c r="AM25" s="212"/>
      <c r="AN25" s="212"/>
      <c r="AO25" s="212"/>
      <c r="AP25" s="212"/>
      <c r="AQ25" s="212"/>
      <c r="AR25" s="212"/>
      <c r="AS25" s="212"/>
      <c r="AT25" s="212"/>
      <c r="AU25" s="212"/>
      <c r="AV25" s="212"/>
      <c r="AW25" s="212"/>
      <c r="AX25" s="212"/>
      <c r="AY25" s="212"/>
      <c r="AZ25" s="212"/>
      <c r="BA25" s="212"/>
      <c r="BB25" s="212"/>
      <c r="BC25" s="212"/>
      <c r="BD25" s="212"/>
      <c r="BE25" s="212"/>
      <c r="BF25" s="212"/>
      <c r="BG25" s="212"/>
      <c r="BH25" s="212"/>
      <c r="BI25" s="212"/>
      <c r="BJ25" s="212"/>
    </row>
    <row r="26" spans="1:62">
      <c r="A26" s="212"/>
      <c r="B26" s="212"/>
      <c r="C26" s="212"/>
      <c r="D26" s="212"/>
      <c r="E26" s="212"/>
      <c r="F26" s="158"/>
      <c r="G26" s="331"/>
      <c r="H26" s="225" t="s">
        <v>137</v>
      </c>
      <c r="I26" s="224">
        <f>I25*I23</f>
        <v>9744</v>
      </c>
      <c r="J26" s="212"/>
      <c r="K26" s="332"/>
      <c r="L26" s="212"/>
      <c r="M26" s="212"/>
      <c r="N26" s="212"/>
      <c r="O26" s="333">
        <v>1</v>
      </c>
      <c r="P26" s="224">
        <f>$I$29*O26</f>
        <v>0.112</v>
      </c>
      <c r="Q26" s="224">
        <f>P26*$I$26</f>
        <v>1091.328</v>
      </c>
      <c r="R26" s="224">
        <f>P26*$I$28</f>
        <v>0.69855172413793098</v>
      </c>
      <c r="S26" s="212"/>
      <c r="T26" s="212"/>
      <c r="U26" s="212"/>
      <c r="V26" s="212"/>
      <c r="W26" s="212"/>
      <c r="X26" s="212"/>
      <c r="Y26" s="212"/>
      <c r="Z26" s="212"/>
      <c r="AA26" s="212"/>
      <c r="AB26" s="212"/>
      <c r="AC26" s="212"/>
      <c r="AD26" s="212"/>
      <c r="AE26" s="212"/>
      <c r="AF26" s="212"/>
      <c r="AG26" s="212"/>
      <c r="AH26" s="212"/>
      <c r="AI26" s="212"/>
      <c r="AJ26" s="212"/>
      <c r="AK26" s="212"/>
      <c r="AL26" s="212"/>
      <c r="AM26" s="212"/>
      <c r="AN26" s="212"/>
      <c r="AO26" s="212"/>
      <c r="AP26" s="212"/>
      <c r="AQ26" s="212"/>
      <c r="AR26" s="212"/>
      <c r="AS26" s="212"/>
      <c r="AT26" s="212"/>
      <c r="AU26" s="212"/>
      <c r="AV26" s="212"/>
      <c r="AW26" s="212"/>
      <c r="AX26" s="212"/>
      <c r="AY26" s="212"/>
      <c r="AZ26" s="212"/>
      <c r="BA26" s="212"/>
      <c r="BB26" s="212"/>
      <c r="BC26" s="212"/>
      <c r="BD26" s="212"/>
      <c r="BE26" s="212"/>
      <c r="BF26" s="212"/>
      <c r="BG26" s="212"/>
      <c r="BH26" s="212"/>
      <c r="BI26" s="212"/>
      <c r="BJ26" s="212"/>
    </row>
    <row r="27" spans="1:62">
      <c r="A27" s="212"/>
      <c r="B27" s="212"/>
      <c r="C27" s="212"/>
      <c r="D27" s="212"/>
      <c r="E27" s="212"/>
      <c r="F27" s="212"/>
      <c r="G27" s="212"/>
      <c r="H27" s="225" t="s">
        <v>138</v>
      </c>
      <c r="I27" s="224">
        <f>I26+2*I24</f>
        <v>60774</v>
      </c>
      <c r="J27" s="212"/>
      <c r="K27" s="212"/>
      <c r="L27" s="212"/>
      <c r="M27" s="212"/>
      <c r="N27" s="212"/>
      <c r="O27" s="333">
        <v>0.6</v>
      </c>
      <c r="P27" s="224">
        <f>$I$29*O27</f>
        <v>6.7199999999999996E-2</v>
      </c>
      <c r="Q27" s="224">
        <f>P27*$I$26</f>
        <v>654.79679999999996</v>
      </c>
      <c r="R27" s="224">
        <f>P27*$I$28</f>
        <v>0.41913103448275857</v>
      </c>
      <c r="S27" s="212"/>
      <c r="T27" s="212"/>
      <c r="U27" s="212"/>
      <c r="V27" s="212"/>
      <c r="W27" s="212"/>
      <c r="X27" s="212"/>
      <c r="Y27" s="212"/>
      <c r="Z27" s="212"/>
      <c r="AA27" s="212"/>
      <c r="AB27" s="212"/>
      <c r="AC27" s="212"/>
      <c r="AD27" s="212"/>
      <c r="AE27" s="212"/>
      <c r="AF27" s="212"/>
      <c r="AG27" s="212"/>
      <c r="AH27" s="212"/>
      <c r="AI27" s="212"/>
      <c r="AJ27" s="212"/>
      <c r="AK27" s="212"/>
      <c r="AL27" s="212"/>
      <c r="AM27" s="212"/>
      <c r="AN27" s="212"/>
      <c r="AO27" s="212"/>
      <c r="AP27" s="212"/>
      <c r="AQ27" s="212"/>
      <c r="AR27" s="212"/>
      <c r="AS27" s="212"/>
      <c r="AT27" s="212"/>
      <c r="AU27" s="212"/>
      <c r="AV27" s="212"/>
      <c r="AW27" s="212"/>
      <c r="AX27" s="212"/>
      <c r="AY27" s="212"/>
      <c r="AZ27" s="212"/>
      <c r="BA27" s="212"/>
      <c r="BB27" s="212"/>
      <c r="BC27" s="212"/>
      <c r="BD27" s="212"/>
      <c r="BE27" s="212"/>
      <c r="BF27" s="212"/>
      <c r="BG27" s="212"/>
      <c r="BH27" s="212"/>
      <c r="BI27" s="212"/>
      <c r="BJ27" s="212"/>
    </row>
    <row r="28" spans="1:62" ht="15">
      <c r="A28" s="212"/>
      <c r="B28" s="321"/>
      <c r="C28" s="321"/>
      <c r="D28" s="321"/>
      <c r="E28" s="321"/>
      <c r="F28" s="321"/>
      <c r="G28" s="321"/>
      <c r="H28" s="225" t="s">
        <v>139</v>
      </c>
      <c r="I28" s="224">
        <f>I27/I26</f>
        <v>6.2370689655172411</v>
      </c>
      <c r="J28" s="321"/>
      <c r="K28" s="321"/>
      <c r="L28" s="321"/>
      <c r="M28" s="321"/>
      <c r="N28" s="321"/>
      <c r="O28" s="321"/>
      <c r="P28" s="321"/>
      <c r="Q28" s="321"/>
      <c r="R28" s="321"/>
      <c r="S28" s="321"/>
      <c r="T28" s="321"/>
      <c r="U28" s="321"/>
      <c r="V28" s="321"/>
      <c r="W28" s="321"/>
      <c r="X28" s="321"/>
      <c r="Y28" s="321"/>
      <c r="Z28" s="212"/>
      <c r="AA28" s="212"/>
      <c r="AB28" s="212"/>
      <c r="AC28" s="212"/>
      <c r="AD28" s="212"/>
      <c r="AE28" s="212"/>
      <c r="AF28" s="212"/>
      <c r="AG28" s="212"/>
      <c r="AH28" s="212"/>
      <c r="AI28" s="212"/>
      <c r="AJ28" s="212"/>
      <c r="AK28" s="212"/>
      <c r="AL28" s="212"/>
      <c r="AM28" s="212"/>
      <c r="AN28" s="212"/>
      <c r="AO28" s="212"/>
      <c r="AP28" s="212"/>
      <c r="AQ28" s="212"/>
      <c r="AR28" s="212"/>
      <c r="AS28" s="212"/>
      <c r="AT28" s="212"/>
      <c r="AU28" s="212"/>
      <c r="AV28" s="212"/>
      <c r="AW28" s="212"/>
      <c r="AX28" s="212"/>
      <c r="AY28" s="212"/>
      <c r="AZ28" s="212"/>
      <c r="BA28" s="212"/>
      <c r="BB28" s="212"/>
      <c r="BC28" s="212"/>
      <c r="BD28" s="212"/>
      <c r="BE28" s="212"/>
      <c r="BF28" s="212"/>
      <c r="BG28" s="212"/>
      <c r="BH28" s="212"/>
      <c r="BI28" s="212"/>
      <c r="BJ28" s="212"/>
    </row>
    <row r="29" spans="1:62" ht="15">
      <c r="A29" s="212"/>
      <c r="B29" s="503"/>
      <c r="C29" s="503"/>
      <c r="D29" s="503"/>
      <c r="E29" s="212"/>
      <c r="F29" s="503"/>
      <c r="G29" s="321"/>
      <c r="H29" s="321"/>
      <c r="I29" s="224">
        <v>0.112</v>
      </c>
      <c r="J29" s="321"/>
      <c r="K29" s="321"/>
      <c r="L29" s="321"/>
      <c r="M29" s="321"/>
      <c r="N29" s="321"/>
      <c r="O29" s="321"/>
      <c r="P29" s="321"/>
      <c r="Q29" s="321"/>
      <c r="R29" s="321"/>
      <c r="S29" s="321"/>
      <c r="T29" s="321"/>
      <c r="U29" s="321"/>
      <c r="V29" s="321"/>
      <c r="W29" s="321"/>
      <c r="X29" s="321"/>
      <c r="Y29" s="321"/>
      <c r="Z29" s="212"/>
      <c r="AA29" s="212"/>
      <c r="AB29" s="212"/>
      <c r="AC29" s="212"/>
      <c r="AD29" s="212"/>
      <c r="AE29" s="212"/>
      <c r="AF29" s="212"/>
      <c r="AG29" s="212"/>
      <c r="AH29" s="212"/>
      <c r="AI29" s="212"/>
      <c r="AJ29" s="212"/>
      <c r="AK29" s="212"/>
      <c r="AL29" s="212"/>
      <c r="AM29" s="212"/>
      <c r="AN29" s="212"/>
      <c r="AO29" s="212"/>
      <c r="AP29" s="212"/>
      <c r="AQ29" s="212"/>
      <c r="AR29" s="212"/>
      <c r="AS29" s="212"/>
      <c r="AT29" s="212"/>
      <c r="AU29" s="212"/>
      <c r="AV29" s="212"/>
      <c r="AW29" s="212"/>
      <c r="AX29" s="212"/>
      <c r="AY29" s="212"/>
      <c r="AZ29" s="212"/>
      <c r="BA29" s="212"/>
      <c r="BB29" s="212"/>
      <c r="BC29" s="212"/>
      <c r="BD29" s="212"/>
      <c r="BE29" s="212"/>
      <c r="BF29" s="212"/>
      <c r="BG29" s="212"/>
      <c r="BH29" s="212"/>
      <c r="BI29" s="212"/>
      <c r="BJ29" s="212"/>
    </row>
    <row r="30" spans="1:62" ht="15">
      <c r="A30" s="212"/>
      <c r="B30" s="503"/>
      <c r="C30" s="503"/>
      <c r="D30" s="503"/>
      <c r="E30" s="321"/>
      <c r="F30" s="503"/>
      <c r="G30" s="438"/>
      <c r="H30" s="438"/>
      <c r="I30" s="438"/>
      <c r="J30" s="287"/>
      <c r="K30" s="287"/>
      <c r="L30" s="287"/>
      <c r="M30" s="287"/>
      <c r="N30" s="321"/>
      <c r="O30" s="321"/>
      <c r="P30" s="321"/>
      <c r="Q30" s="321"/>
      <c r="R30" s="321"/>
      <c r="S30" s="321"/>
      <c r="T30" s="321"/>
      <c r="U30" s="321"/>
      <c r="V30" s="321"/>
      <c r="W30" s="321"/>
      <c r="X30" s="321"/>
      <c r="Y30" s="321"/>
      <c r="Z30" s="212"/>
      <c r="AA30" s="212"/>
      <c r="AB30" s="212"/>
      <c r="AC30" s="212"/>
      <c r="AD30" s="212"/>
      <c r="AE30" s="212"/>
      <c r="AF30" s="212"/>
      <c r="AG30" s="212"/>
      <c r="AH30" s="212"/>
      <c r="AI30" s="212"/>
      <c r="AJ30" s="212"/>
      <c r="AK30" s="212"/>
      <c r="AL30" s="212"/>
      <c r="AM30" s="212"/>
      <c r="AN30" s="212"/>
      <c r="AO30" s="212"/>
      <c r="AP30" s="212"/>
      <c r="AQ30" s="212"/>
      <c r="AR30" s="212"/>
      <c r="AS30" s="212"/>
      <c r="AT30" s="212"/>
      <c r="AU30" s="212"/>
      <c r="AV30" s="212"/>
      <c r="AW30" s="212"/>
      <c r="AX30" s="212"/>
      <c r="AY30" s="212"/>
      <c r="AZ30" s="212"/>
      <c r="BA30" s="212"/>
      <c r="BB30" s="212"/>
      <c r="BC30" s="212"/>
      <c r="BD30" s="212"/>
      <c r="BE30" s="212"/>
      <c r="BF30" s="212"/>
      <c r="BG30" s="212"/>
      <c r="BH30" s="212"/>
      <c r="BI30" s="212"/>
      <c r="BJ30" s="212"/>
    </row>
    <row r="31" spans="1:62" ht="15">
      <c r="A31" s="212"/>
      <c r="B31" s="503"/>
      <c r="C31" s="503"/>
      <c r="D31" s="503"/>
      <c r="E31" s="503"/>
      <c r="F31" s="503"/>
      <c r="G31" s="438"/>
      <c r="H31" s="321"/>
      <c r="I31" s="321"/>
      <c r="J31" s="333"/>
      <c r="K31" s="334"/>
      <c r="L31" s="287"/>
      <c r="M31" s="287"/>
      <c r="N31" s="321"/>
      <c r="O31" s="321"/>
      <c r="P31" s="321"/>
      <c r="Q31" s="321"/>
      <c r="R31" s="321"/>
      <c r="S31" s="321"/>
      <c r="T31" s="321"/>
      <c r="U31" s="321"/>
      <c r="V31" s="321"/>
      <c r="W31" s="321"/>
      <c r="X31" s="321"/>
      <c r="Y31" s="321"/>
      <c r="Z31" s="212"/>
      <c r="AA31" s="212"/>
      <c r="AB31" s="212"/>
      <c r="AC31" s="212"/>
      <c r="AD31" s="212"/>
      <c r="AE31" s="212"/>
      <c r="AF31" s="212"/>
      <c r="AG31" s="212"/>
      <c r="AH31" s="212"/>
      <c r="AI31" s="212"/>
      <c r="AJ31" s="212"/>
      <c r="AK31" s="212"/>
      <c r="AL31" s="212"/>
      <c r="AM31" s="212"/>
      <c r="AN31" s="212"/>
      <c r="AO31" s="212"/>
      <c r="AP31" s="212"/>
      <c r="AQ31" s="212"/>
      <c r="AR31" s="212"/>
      <c r="AS31" s="212"/>
      <c r="AT31" s="212"/>
      <c r="AU31" s="212"/>
      <c r="AV31" s="212"/>
      <c r="AW31" s="212"/>
      <c r="AX31" s="212"/>
      <c r="AY31" s="212"/>
      <c r="AZ31" s="212"/>
      <c r="BA31" s="212"/>
      <c r="BB31" s="212"/>
      <c r="BC31" s="212"/>
      <c r="BD31" s="212"/>
      <c r="BE31" s="212"/>
      <c r="BF31" s="212"/>
      <c r="BG31" s="212"/>
      <c r="BH31" s="212"/>
      <c r="BI31" s="212"/>
      <c r="BJ31" s="212"/>
    </row>
    <row r="32" spans="1:62" ht="15">
      <c r="A32" s="212"/>
      <c r="B32" s="503"/>
      <c r="C32" s="503"/>
      <c r="D32" s="503"/>
      <c r="E32" s="503"/>
      <c r="F32" s="503"/>
      <c r="G32" s="438"/>
      <c r="H32" s="321"/>
      <c r="I32" s="321"/>
      <c r="J32" s="333"/>
      <c r="K32" s="334"/>
      <c r="L32" s="287"/>
      <c r="M32" s="287"/>
      <c r="N32" s="321"/>
      <c r="O32" s="321"/>
      <c r="P32" s="321"/>
      <c r="Q32" s="321"/>
      <c r="R32" s="321"/>
      <c r="S32" s="321"/>
      <c r="T32" s="321"/>
      <c r="U32" s="321"/>
      <c r="V32" s="321"/>
      <c r="W32" s="321"/>
      <c r="X32" s="321"/>
      <c r="Y32" s="321"/>
      <c r="Z32" s="212"/>
      <c r="AA32" s="212"/>
      <c r="AB32" s="212"/>
      <c r="AC32" s="212"/>
      <c r="AD32" s="212"/>
      <c r="AE32" s="212"/>
      <c r="AF32" s="212"/>
      <c r="AG32" s="212"/>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2"/>
      <c r="BH32" s="212"/>
      <c r="BI32" s="212"/>
      <c r="BJ32" s="212"/>
    </row>
    <row r="33" spans="1:62" ht="15">
      <c r="A33" s="212"/>
      <c r="B33" s="503"/>
      <c r="C33" s="503"/>
      <c r="D33" s="503"/>
      <c r="E33" s="321"/>
      <c r="F33" s="503"/>
      <c r="G33" s="438"/>
      <c r="H33" s="321"/>
      <c r="I33" s="321"/>
      <c r="J33" s="333"/>
      <c r="K33" s="334"/>
      <c r="L33" s="287"/>
      <c r="M33" s="287"/>
      <c r="N33" s="321"/>
      <c r="O33" s="321"/>
      <c r="P33" s="321"/>
      <c r="Q33" s="321"/>
      <c r="R33" s="321"/>
      <c r="S33" s="321"/>
      <c r="T33" s="321"/>
      <c r="U33" s="321"/>
      <c r="V33" s="321"/>
      <c r="W33" s="321"/>
      <c r="X33" s="321"/>
      <c r="Y33" s="321"/>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12"/>
      <c r="BH33" s="212"/>
      <c r="BI33" s="212"/>
      <c r="BJ33" s="212"/>
    </row>
    <row r="34" spans="1:62" ht="15">
      <c r="A34" s="212"/>
      <c r="B34" s="503"/>
      <c r="C34" s="503"/>
      <c r="D34" s="503"/>
      <c r="E34" s="321"/>
      <c r="F34" s="503"/>
      <c r="G34" s="438"/>
      <c r="H34" s="321"/>
      <c r="I34" s="321"/>
      <c r="J34" s="333"/>
      <c r="K34" s="334"/>
      <c r="L34" s="287"/>
      <c r="M34" s="287"/>
      <c r="N34" s="321"/>
      <c r="O34" s="321"/>
      <c r="P34" s="321"/>
      <c r="Q34" s="321"/>
      <c r="R34" s="321"/>
      <c r="S34" s="321"/>
      <c r="T34" s="321"/>
      <c r="U34" s="321"/>
      <c r="V34" s="321"/>
      <c r="W34" s="321"/>
      <c r="X34" s="321"/>
      <c r="Y34" s="321"/>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c r="BF34" s="212"/>
      <c r="BG34" s="212"/>
      <c r="BH34" s="212"/>
      <c r="BI34" s="212"/>
      <c r="BJ34" s="212"/>
    </row>
    <row r="35" spans="1:62" ht="15">
      <c r="A35" s="212"/>
      <c r="B35" s="503"/>
      <c r="C35" s="503"/>
      <c r="D35" s="503"/>
      <c r="E35" s="321"/>
      <c r="F35" s="503"/>
      <c r="G35" s="438"/>
      <c r="H35" s="321"/>
      <c r="I35" s="321"/>
      <c r="J35" s="333"/>
      <c r="K35" s="334"/>
      <c r="L35" s="287"/>
      <c r="M35" s="287"/>
      <c r="N35" s="321"/>
      <c r="O35" s="321"/>
      <c r="P35" s="321"/>
      <c r="Q35" s="321"/>
      <c r="R35" s="321"/>
      <c r="S35" s="321"/>
      <c r="T35" s="321"/>
      <c r="U35" s="321"/>
      <c r="V35" s="321"/>
      <c r="W35" s="321"/>
      <c r="X35" s="321"/>
      <c r="Y35" s="321"/>
      <c r="Z35" s="212"/>
      <c r="AA35" s="212"/>
      <c r="AB35" s="212"/>
      <c r="AC35" s="212"/>
      <c r="AD35" s="212"/>
      <c r="AE35" s="212"/>
      <c r="AF35" s="212"/>
      <c r="AG35" s="212"/>
      <c r="AH35" s="212"/>
      <c r="AI35" s="212"/>
      <c r="AJ35" s="212"/>
      <c r="AK35" s="212"/>
      <c r="AL35" s="212"/>
      <c r="AM35" s="212"/>
      <c r="AN35" s="212"/>
      <c r="AO35" s="212"/>
      <c r="AP35" s="212"/>
      <c r="AQ35" s="212"/>
      <c r="AR35" s="212"/>
      <c r="AS35" s="212"/>
      <c r="AT35" s="212"/>
      <c r="AU35" s="212"/>
      <c r="AV35" s="212"/>
      <c r="AW35" s="212"/>
      <c r="AX35" s="212"/>
      <c r="AY35" s="212"/>
      <c r="AZ35" s="212"/>
      <c r="BA35" s="212"/>
      <c r="BB35" s="212"/>
      <c r="BC35" s="212"/>
      <c r="BD35" s="212"/>
      <c r="BE35" s="212"/>
      <c r="BF35" s="212"/>
      <c r="BG35" s="212"/>
      <c r="BH35" s="212"/>
      <c r="BI35" s="212"/>
      <c r="BJ35" s="212"/>
    </row>
    <row r="36" spans="1:62" ht="15">
      <c r="A36" s="212"/>
      <c r="B36" s="503"/>
      <c r="C36" s="503"/>
      <c r="D36" s="503"/>
      <c r="E36" s="321"/>
      <c r="F36" s="503"/>
      <c r="G36" s="321"/>
      <c r="H36" s="321"/>
      <c r="I36" s="321"/>
      <c r="J36" s="321"/>
      <c r="K36" s="321"/>
      <c r="L36" s="321"/>
      <c r="M36" s="321"/>
      <c r="N36" s="321"/>
      <c r="O36" s="321"/>
      <c r="P36" s="321"/>
      <c r="Q36" s="321"/>
      <c r="R36" s="321"/>
      <c r="S36" s="321"/>
      <c r="T36" s="321"/>
      <c r="U36" s="321"/>
      <c r="V36" s="321"/>
      <c r="W36" s="321"/>
      <c r="X36" s="321"/>
      <c r="Y36" s="321"/>
      <c r="Z36" s="212"/>
      <c r="AA36" s="212"/>
      <c r="AB36" s="212"/>
      <c r="AC36" s="212"/>
      <c r="AD36" s="212"/>
      <c r="AE36" s="212"/>
      <c r="AF36" s="212"/>
      <c r="AG36" s="212"/>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c r="BF36" s="212"/>
      <c r="BG36" s="212"/>
      <c r="BH36" s="212"/>
      <c r="BI36" s="212"/>
      <c r="BJ36" s="212"/>
    </row>
  </sheetData>
  <mergeCells count="40">
    <mergeCell ref="B29:B30"/>
    <mergeCell ref="C29:C30"/>
    <mergeCell ref="D29:D30"/>
    <mergeCell ref="F29:F30"/>
    <mergeCell ref="A3:X3"/>
    <mergeCell ref="E5:E6"/>
    <mergeCell ref="B5:B6"/>
    <mergeCell ref="A5:A6"/>
    <mergeCell ref="D5:D6"/>
    <mergeCell ref="C5:C6"/>
    <mergeCell ref="C7:C8"/>
    <mergeCell ref="A7:A8"/>
    <mergeCell ref="B7:B8"/>
    <mergeCell ref="E7:E8"/>
    <mergeCell ref="D7:D8"/>
    <mergeCell ref="I19:X19"/>
    <mergeCell ref="B31:B32"/>
    <mergeCell ref="C31:C32"/>
    <mergeCell ref="D31:D32"/>
    <mergeCell ref="E31:E32"/>
    <mergeCell ref="F31:F32"/>
    <mergeCell ref="B33:B36"/>
    <mergeCell ref="C33:C34"/>
    <mergeCell ref="D33:D34"/>
    <mergeCell ref="F33:F34"/>
    <mergeCell ref="C35:C36"/>
    <mergeCell ref="D35:D36"/>
    <mergeCell ref="F35:F36"/>
    <mergeCell ref="H22:I22"/>
    <mergeCell ref="A9:A12"/>
    <mergeCell ref="B9:B10"/>
    <mergeCell ref="C9:C10"/>
    <mergeCell ref="E9:E10"/>
    <mergeCell ref="B11:B12"/>
    <mergeCell ref="C11:C12"/>
    <mergeCell ref="E11:E12"/>
    <mergeCell ref="E16:J16"/>
    <mergeCell ref="I17:X17"/>
    <mergeCell ref="E18:E19"/>
    <mergeCell ref="I18:X18"/>
  </mergeCells>
  <phoneticPr fontId="9" type="noConversion"/>
  <hyperlinks>
    <hyperlink ref="E21" r:id="rId1" xr:uid="{25C90A1D-2413-41E3-8163-A6D94106D91D}"/>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C1672-9EE3-40E4-AB75-7F6046861D1F}">
  <sheetPr codeName="Sheet6">
    <tabColor rgb="FF00B050"/>
  </sheetPr>
  <dimension ref="A1:AM53"/>
  <sheetViews>
    <sheetView zoomScale="110" zoomScaleNormal="110" workbookViewId="0">
      <selection activeCell="D8" sqref="D8"/>
    </sheetView>
  </sheetViews>
  <sheetFormatPr defaultColWidth="8.42578125" defaultRowHeight="12.95"/>
  <cols>
    <col min="1" max="1" width="16.42578125" style="156" customWidth="1"/>
    <col min="2" max="4" width="25.42578125" style="156" customWidth="1"/>
    <col min="5" max="5" width="25.42578125" style="222" customWidth="1"/>
    <col min="6" max="6" width="25.42578125" style="155" customWidth="1"/>
    <col min="7" max="7" width="52.140625" style="156" customWidth="1"/>
    <col min="8" max="8" width="41" style="156" customWidth="1"/>
    <col min="9" max="12" width="12.42578125" style="156" customWidth="1"/>
    <col min="13" max="20" width="15.42578125" style="156" customWidth="1"/>
    <col min="21" max="21" width="14.42578125" style="156" customWidth="1"/>
    <col min="22" max="22" width="13.42578125" style="156" customWidth="1"/>
    <col min="23" max="23" width="15.42578125" style="156" customWidth="1"/>
    <col min="24" max="30" width="11" style="156" customWidth="1"/>
    <col min="31" max="39" width="6.42578125" style="156" customWidth="1"/>
    <col min="40" max="40" width="8.42578125" style="156" customWidth="1"/>
    <col min="41" max="16384" width="8.42578125" style="156"/>
  </cols>
  <sheetData>
    <row r="1" spans="1:17" s="3" customFormat="1" ht="15">
      <c r="A1" s="464" t="s">
        <v>2</v>
      </c>
      <c r="B1" s="607"/>
      <c r="C1" s="608"/>
      <c r="D1" s="608"/>
      <c r="E1" s="608"/>
      <c r="F1" s="608"/>
      <c r="G1" s="608"/>
      <c r="H1" s="463"/>
      <c r="I1" s="463"/>
      <c r="J1" s="463"/>
      <c r="K1" s="463"/>
      <c r="L1" s="463"/>
      <c r="M1" s="463"/>
      <c r="N1" s="463"/>
      <c r="O1" s="463"/>
      <c r="P1" s="463"/>
      <c r="Q1" s="463"/>
    </row>
    <row r="3" spans="1:17" ht="27" customHeight="1">
      <c r="A3" s="507" t="str">
        <f>"HVAC system - "&amp;Prototype!A3</f>
        <v>HVAC system - Controlled Environment Horticulture</v>
      </c>
      <c r="B3" s="507"/>
      <c r="C3" s="507"/>
      <c r="D3" s="507"/>
      <c r="E3" s="507"/>
      <c r="F3" s="507"/>
      <c r="G3" s="507"/>
      <c r="H3" s="155"/>
    </row>
    <row r="4" spans="1:17" ht="22.5" customHeight="1">
      <c r="A4" s="227" t="s">
        <v>85</v>
      </c>
      <c r="B4" s="227" t="s">
        <v>39</v>
      </c>
      <c r="C4" s="227" t="s">
        <v>140</v>
      </c>
      <c r="D4" s="227" t="s">
        <v>141</v>
      </c>
      <c r="E4" s="227" t="s">
        <v>142</v>
      </c>
      <c r="F4" s="227" t="s">
        <v>143</v>
      </c>
      <c r="G4" s="227" t="s">
        <v>125</v>
      </c>
    </row>
    <row r="5" spans="1:17" ht="30.75" customHeight="1">
      <c r="A5" s="495" t="s">
        <v>109</v>
      </c>
      <c r="B5" s="162" t="s">
        <v>52</v>
      </c>
      <c r="C5" s="248" t="s">
        <v>144</v>
      </c>
      <c r="D5" s="223" t="s">
        <v>145</v>
      </c>
      <c r="E5" s="163" t="s">
        <v>146</v>
      </c>
      <c r="F5" s="248" t="s">
        <v>147</v>
      </c>
      <c r="G5" s="163"/>
      <c r="H5" s="210"/>
      <c r="I5" s="219"/>
      <c r="J5" s="219"/>
      <c r="K5" s="219"/>
    </row>
    <row r="6" spans="1:17" ht="28.7" customHeight="1">
      <c r="A6" s="495"/>
      <c r="B6" s="162" t="s">
        <v>56</v>
      </c>
      <c r="C6" s="223" t="s">
        <v>148</v>
      </c>
      <c r="D6" s="223" t="s">
        <v>145</v>
      </c>
      <c r="E6" s="248" t="s">
        <v>146</v>
      </c>
      <c r="F6" s="248" t="s">
        <v>147</v>
      </c>
      <c r="G6" s="163"/>
      <c r="H6" s="219"/>
      <c r="J6" s="219"/>
      <c r="K6" s="219"/>
    </row>
    <row r="7" spans="1:17" ht="28.7" customHeight="1">
      <c r="A7" s="495"/>
      <c r="B7" s="162" t="s">
        <v>60</v>
      </c>
      <c r="C7" s="163" t="s">
        <v>149</v>
      </c>
      <c r="D7" s="178" t="s">
        <v>145</v>
      </c>
      <c r="E7" s="163" t="s">
        <v>146</v>
      </c>
      <c r="F7" s="248" t="s">
        <v>147</v>
      </c>
      <c r="G7" s="163"/>
      <c r="H7" s="219"/>
      <c r="J7" s="219"/>
      <c r="K7" s="219"/>
    </row>
    <row r="8" spans="1:17" ht="28.7" customHeight="1">
      <c r="A8" s="495"/>
      <c r="B8" s="162" t="s">
        <v>64</v>
      </c>
      <c r="C8" s="163" t="s">
        <v>144</v>
      </c>
      <c r="D8" s="178" t="s">
        <v>145</v>
      </c>
      <c r="E8" s="163" t="s">
        <v>146</v>
      </c>
      <c r="F8" s="248" t="s">
        <v>147</v>
      </c>
      <c r="G8" s="163"/>
      <c r="H8" s="219"/>
      <c r="J8" s="219"/>
      <c r="K8" s="219"/>
    </row>
    <row r="9" spans="1:17" ht="28.7" customHeight="1">
      <c r="A9" s="495"/>
      <c r="B9" s="337" t="s">
        <v>67</v>
      </c>
      <c r="C9" s="163" t="s">
        <v>149</v>
      </c>
      <c r="D9" s="178" t="s">
        <v>145</v>
      </c>
      <c r="E9" s="163" t="s">
        <v>146</v>
      </c>
      <c r="F9" s="307" t="s">
        <v>150</v>
      </c>
      <c r="G9" s="163" t="s">
        <v>151</v>
      </c>
      <c r="H9" s="219"/>
      <c r="J9" s="219"/>
      <c r="K9" s="219"/>
    </row>
    <row r="10" spans="1:17" ht="28.7" customHeight="1">
      <c r="A10" s="495"/>
      <c r="B10" s="162" t="s">
        <v>68</v>
      </c>
      <c r="C10" s="163" t="s">
        <v>149</v>
      </c>
      <c r="D10" s="178" t="s">
        <v>145</v>
      </c>
      <c r="E10" s="163" t="s">
        <v>146</v>
      </c>
      <c r="F10" s="307" t="s">
        <v>150</v>
      </c>
      <c r="G10" s="163" t="s">
        <v>151</v>
      </c>
      <c r="H10" s="219"/>
      <c r="J10" s="219"/>
      <c r="K10" s="219"/>
    </row>
    <row r="11" spans="1:17" ht="30.75" customHeight="1">
      <c r="A11" s="495"/>
      <c r="B11" s="162" t="s">
        <v>71</v>
      </c>
      <c r="C11" s="163" t="s">
        <v>149</v>
      </c>
      <c r="D11" s="178" t="s">
        <v>145</v>
      </c>
      <c r="E11" s="163" t="s">
        <v>146</v>
      </c>
      <c r="F11" s="307" t="s">
        <v>150</v>
      </c>
      <c r="G11" s="495" t="s">
        <v>152</v>
      </c>
      <c r="H11" s="219"/>
      <c r="I11" s="219"/>
      <c r="J11" s="219"/>
      <c r="K11" s="219"/>
    </row>
    <row r="12" spans="1:17" ht="30.75" customHeight="1">
      <c r="A12" s="495"/>
      <c r="B12" s="162" t="s">
        <v>72</v>
      </c>
      <c r="C12" s="163" t="s">
        <v>149</v>
      </c>
      <c r="D12" s="178" t="s">
        <v>145</v>
      </c>
      <c r="E12" s="163" t="s">
        <v>146</v>
      </c>
      <c r="F12" s="307" t="s">
        <v>150</v>
      </c>
      <c r="G12" s="491"/>
      <c r="H12" s="219"/>
      <c r="I12" s="219"/>
      <c r="J12" s="219"/>
      <c r="K12" s="219"/>
    </row>
    <row r="13" spans="1:17" ht="14.1">
      <c r="A13" s="495" t="s">
        <v>111</v>
      </c>
      <c r="B13" s="162" t="s">
        <v>52</v>
      </c>
      <c r="C13" s="248" t="s">
        <v>153</v>
      </c>
      <c r="D13" s="178" t="s">
        <v>145</v>
      </c>
      <c r="E13" s="248" t="s">
        <v>146</v>
      </c>
      <c r="F13" s="248" t="s">
        <v>147</v>
      </c>
      <c r="G13" s="495"/>
    </row>
    <row r="14" spans="1:17" ht="14.1">
      <c r="A14" s="495"/>
      <c r="B14" s="162" t="s">
        <v>56</v>
      </c>
      <c r="C14" s="248" t="s">
        <v>154</v>
      </c>
      <c r="D14" s="248" t="s">
        <v>155</v>
      </c>
      <c r="E14" s="248" t="s">
        <v>156</v>
      </c>
      <c r="F14" s="248" t="s">
        <v>62</v>
      </c>
      <c r="G14" s="495"/>
    </row>
    <row r="15" spans="1:17" ht="14.1">
      <c r="A15" s="495"/>
      <c r="B15" s="162" t="s">
        <v>60</v>
      </c>
      <c r="C15" s="248" t="s">
        <v>153</v>
      </c>
      <c r="D15" s="178" t="s">
        <v>145</v>
      </c>
      <c r="E15" s="163" t="s">
        <v>146</v>
      </c>
      <c r="F15" s="248" t="s">
        <v>147</v>
      </c>
      <c r="G15" s="163"/>
    </row>
    <row r="16" spans="1:17" ht="27.95">
      <c r="A16" s="495"/>
      <c r="B16" s="162" t="s">
        <v>64</v>
      </c>
      <c r="C16" s="163" t="s">
        <v>144</v>
      </c>
      <c r="D16" s="178" t="s">
        <v>145</v>
      </c>
      <c r="E16" s="163" t="s">
        <v>146</v>
      </c>
      <c r="F16" s="248" t="s">
        <v>147</v>
      </c>
      <c r="G16" s="163" t="s">
        <v>157</v>
      </c>
    </row>
    <row r="17" spans="1:8" ht="15.95">
      <c r="A17" s="495"/>
      <c r="B17" s="337" t="s">
        <v>67</v>
      </c>
      <c r="C17" s="248" t="s">
        <v>153</v>
      </c>
      <c r="D17" s="178" t="s">
        <v>145</v>
      </c>
      <c r="E17" s="163" t="s">
        <v>146</v>
      </c>
      <c r="F17" s="307" t="s">
        <v>150</v>
      </c>
      <c r="G17" s="163"/>
    </row>
    <row r="18" spans="1:8" ht="15.95">
      <c r="A18" s="495"/>
      <c r="B18" s="162" t="s">
        <v>68</v>
      </c>
      <c r="C18" s="248" t="s">
        <v>153</v>
      </c>
      <c r="D18" s="178" t="s">
        <v>145</v>
      </c>
      <c r="E18" s="163" t="s">
        <v>146</v>
      </c>
      <c r="F18" s="307" t="s">
        <v>150</v>
      </c>
      <c r="G18" s="163"/>
    </row>
    <row r="19" spans="1:8" ht="15.95">
      <c r="A19" s="495"/>
      <c r="B19" s="162" t="s">
        <v>71</v>
      </c>
      <c r="C19" s="248" t="s">
        <v>153</v>
      </c>
      <c r="D19" s="178" t="s">
        <v>145</v>
      </c>
      <c r="E19" s="163" t="s">
        <v>146</v>
      </c>
      <c r="F19" s="307" t="s">
        <v>150</v>
      </c>
      <c r="G19" s="491" t="s">
        <v>158</v>
      </c>
    </row>
    <row r="20" spans="1:8" ht="15.95">
      <c r="A20" s="495"/>
      <c r="B20" s="162" t="s">
        <v>72</v>
      </c>
      <c r="C20" s="248" t="s">
        <v>153</v>
      </c>
      <c r="D20" s="178" t="s">
        <v>145</v>
      </c>
      <c r="E20" s="163" t="s">
        <v>146</v>
      </c>
      <c r="F20" s="307" t="s">
        <v>150</v>
      </c>
      <c r="G20" s="491"/>
    </row>
    <row r="23" spans="1:8">
      <c r="A23" s="155"/>
      <c r="B23" s="155"/>
      <c r="C23" s="155"/>
      <c r="D23" s="155"/>
      <c r="E23" s="157"/>
    </row>
    <row r="24" spans="1:8" ht="45" customHeight="1">
      <c r="A24" s="508" t="s">
        <v>159</v>
      </c>
      <c r="B24" s="508"/>
      <c r="C24" s="508"/>
      <c r="D24" s="508"/>
      <c r="E24" s="508"/>
      <c r="F24" s="508"/>
      <c r="G24" s="508"/>
    </row>
    <row r="25" spans="1:8" ht="28.5" customHeight="1">
      <c r="A25" s="299" t="s">
        <v>85</v>
      </c>
      <c r="B25" s="336" t="s">
        <v>160</v>
      </c>
      <c r="C25" s="336" t="s">
        <v>161</v>
      </c>
      <c r="D25" s="336" t="s">
        <v>141</v>
      </c>
      <c r="E25" s="336" t="s">
        <v>143</v>
      </c>
      <c r="F25" s="227" t="s">
        <v>125</v>
      </c>
      <c r="G25" s="227" t="s">
        <v>162</v>
      </c>
    </row>
    <row r="26" spans="1:8" ht="56.1">
      <c r="A26" s="248" t="s">
        <v>109</v>
      </c>
      <c r="B26" s="163">
        <v>2019</v>
      </c>
      <c r="C26" s="346" t="s">
        <v>163</v>
      </c>
      <c r="D26" s="346" t="s">
        <v>164</v>
      </c>
      <c r="E26" s="346"/>
      <c r="F26" s="346" t="s">
        <v>165</v>
      </c>
      <c r="G26" s="163" t="s">
        <v>166</v>
      </c>
      <c r="H26" s="217"/>
    </row>
    <row r="27" spans="1:8" ht="51" customHeight="1">
      <c r="A27" s="248" t="s">
        <v>111</v>
      </c>
      <c r="B27" s="163">
        <v>2025</v>
      </c>
      <c r="C27" s="346" t="s">
        <v>153</v>
      </c>
      <c r="D27" s="346" t="s">
        <v>164</v>
      </c>
      <c r="E27" s="163"/>
      <c r="F27" s="346"/>
      <c r="G27" s="163" t="s">
        <v>167</v>
      </c>
      <c r="H27" s="217"/>
    </row>
    <row r="29" spans="1:8">
      <c r="E29" s="393"/>
    </row>
    <row r="30" spans="1:8">
      <c r="E30" s="393"/>
    </row>
    <row r="31" spans="1:8" ht="27" customHeight="1">
      <c r="A31" s="506" t="s">
        <v>168</v>
      </c>
      <c r="B31" s="506"/>
      <c r="C31" s="506"/>
      <c r="D31" s="506"/>
      <c r="E31" s="506"/>
      <c r="F31" s="506"/>
      <c r="G31" s="506"/>
      <c r="H31" s="506"/>
    </row>
    <row r="32" spans="1:8" ht="57.75" customHeight="1">
      <c r="A32" s="299" t="s">
        <v>85</v>
      </c>
      <c r="B32" s="299" t="s">
        <v>169</v>
      </c>
      <c r="C32" s="299" t="s">
        <v>170</v>
      </c>
      <c r="D32" s="347" t="s">
        <v>171</v>
      </c>
      <c r="E32" s="347" t="s">
        <v>172</v>
      </c>
      <c r="F32" s="347" t="s">
        <v>173</v>
      </c>
      <c r="G32" s="347" t="s">
        <v>174</v>
      </c>
      <c r="H32" s="348" t="s">
        <v>175</v>
      </c>
    </row>
    <row r="33" spans="1:39" ht="29.45" customHeight="1">
      <c r="A33" s="495" t="s">
        <v>176</v>
      </c>
      <c r="B33" s="495" t="s">
        <v>177</v>
      </c>
      <c r="C33" s="248" t="s">
        <v>178</v>
      </c>
      <c r="D33" s="163" t="s">
        <v>179</v>
      </c>
      <c r="E33" s="163">
        <v>0.65</v>
      </c>
      <c r="F33" s="505" t="s">
        <v>180</v>
      </c>
      <c r="G33" s="509"/>
      <c r="H33" s="495" t="s">
        <v>181</v>
      </c>
    </row>
    <row r="34" spans="1:39" ht="26.45" customHeight="1">
      <c r="A34" s="495"/>
      <c r="B34" s="495"/>
      <c r="C34" s="248" t="s">
        <v>182</v>
      </c>
      <c r="D34" s="163" t="s">
        <v>179</v>
      </c>
      <c r="E34" s="163">
        <v>0.65</v>
      </c>
      <c r="F34" s="505"/>
      <c r="G34" s="509"/>
      <c r="H34" s="495"/>
    </row>
    <row r="35" spans="1:39" ht="26.45" customHeight="1">
      <c r="A35" s="495"/>
      <c r="B35" s="495"/>
      <c r="C35" s="248" t="s">
        <v>183</v>
      </c>
      <c r="D35" s="163" t="s">
        <v>179</v>
      </c>
      <c r="E35" s="163">
        <v>0.65</v>
      </c>
      <c r="F35" s="248"/>
      <c r="G35" s="344"/>
      <c r="H35" s="163"/>
    </row>
    <row r="36" spans="1:39" ht="26.45" customHeight="1">
      <c r="A36" s="495"/>
      <c r="B36" s="495"/>
      <c r="C36" s="248" t="s">
        <v>184</v>
      </c>
      <c r="D36" s="163" t="s">
        <v>179</v>
      </c>
      <c r="E36" s="163">
        <v>0.65</v>
      </c>
      <c r="F36" s="248"/>
      <c r="G36" s="344"/>
      <c r="H36" s="163"/>
    </row>
    <row r="37" spans="1:39" ht="16.5" customHeight="1">
      <c r="A37" s="243" t="s">
        <v>185</v>
      </c>
      <c r="B37" s="342"/>
      <c r="C37" s="231"/>
      <c r="D37" s="231"/>
      <c r="E37" s="343"/>
      <c r="F37" s="308"/>
      <c r="G37" s="231"/>
      <c r="H37" s="339"/>
    </row>
    <row r="38" spans="1:39" ht="15.75" customHeight="1">
      <c r="A38" s="243" t="s">
        <v>186</v>
      </c>
      <c r="B38" s="231"/>
      <c r="C38" s="231"/>
      <c r="D38" s="338"/>
      <c r="E38" s="394"/>
      <c r="F38" s="308"/>
      <c r="G38" s="231"/>
      <c r="H38" s="339"/>
    </row>
    <row r="39" spans="1:39" ht="27" customHeight="1">
      <c r="A39" s="495" t="s">
        <v>187</v>
      </c>
      <c r="B39" s="495" t="s">
        <v>188</v>
      </c>
      <c r="C39" s="248" t="s">
        <v>178</v>
      </c>
      <c r="D39" s="244">
        <f>0.744*$F$39*$E$39/746*6356</f>
        <v>3.7082914745308311</v>
      </c>
      <c r="E39" s="495">
        <v>0.65</v>
      </c>
      <c r="F39" s="491">
        <v>0.9</v>
      </c>
      <c r="G39" s="345"/>
      <c r="H39" s="495" t="s">
        <v>188</v>
      </c>
    </row>
    <row r="40" spans="1:39" ht="25.7" customHeight="1">
      <c r="A40" s="495"/>
      <c r="B40" s="495"/>
      <c r="C40" s="248" t="s">
        <v>182</v>
      </c>
      <c r="D40" s="244">
        <f>0.744*$F$39*$E$39/746*6356</f>
        <v>3.7082914745308311</v>
      </c>
      <c r="E40" s="495"/>
      <c r="F40" s="491"/>
      <c r="G40" s="345"/>
      <c r="H40" s="495"/>
    </row>
    <row r="41" spans="1:39" ht="19.5" customHeight="1">
      <c r="A41" s="294" t="s">
        <v>187</v>
      </c>
      <c r="B41" s="163"/>
      <c r="C41" s="248" t="s">
        <v>183</v>
      </c>
      <c r="D41" s="244">
        <f>0.744*$F$39*$E$39/746*6356</f>
        <v>3.7082914745308311</v>
      </c>
      <c r="E41" s="495"/>
      <c r="F41" s="491"/>
      <c r="G41" s="162"/>
      <c r="H41" s="162"/>
    </row>
    <row r="42" spans="1:39" ht="14.1">
      <c r="A42" s="162" t="s">
        <v>187</v>
      </c>
      <c r="B42" s="162"/>
      <c r="C42" s="248" t="s">
        <v>184</v>
      </c>
      <c r="D42" s="244">
        <f>0.744*$F$39*$E$39/746*6356</f>
        <v>3.7082914745308311</v>
      </c>
      <c r="E42" s="495"/>
      <c r="F42" s="491"/>
      <c r="G42" s="162"/>
      <c r="H42" s="162"/>
    </row>
    <row r="43" spans="1:39" ht="13.5" customHeight="1">
      <c r="A43" s="469" t="s">
        <v>189</v>
      </c>
      <c r="V43" s="285"/>
      <c r="W43" s="340"/>
      <c r="X43" s="341"/>
      <c r="Y43" s="341"/>
      <c r="Z43" s="341"/>
      <c r="AA43" s="341"/>
      <c r="AB43" s="341"/>
      <c r="AC43" s="341"/>
      <c r="AD43" s="341"/>
      <c r="AE43" s="341"/>
      <c r="AF43" s="341"/>
      <c r="AG43" s="341"/>
      <c r="AH43" s="341"/>
      <c r="AI43" s="341"/>
      <c r="AJ43" s="341"/>
      <c r="AK43" s="341"/>
      <c r="AL43" s="341"/>
      <c r="AM43" s="341"/>
    </row>
    <row r="45" spans="1:39" ht="15.95">
      <c r="A45" s="282"/>
      <c r="B45" s="283"/>
    </row>
    <row r="46" spans="1:39" ht="15.95">
      <c r="A46" s="282"/>
      <c r="B46" s="283"/>
    </row>
    <row r="47" spans="1:39" ht="15.95">
      <c r="A47" s="282"/>
      <c r="B47" s="283"/>
    </row>
    <row r="53" spans="8:8">
      <c r="H53" s="179"/>
    </row>
  </sheetData>
  <mergeCells count="18">
    <mergeCell ref="H39:H40"/>
    <mergeCell ref="B39:B40"/>
    <mergeCell ref="A39:A40"/>
    <mergeCell ref="F33:F34"/>
    <mergeCell ref="G33:G34"/>
    <mergeCell ref="H33:H34"/>
    <mergeCell ref="A33:A36"/>
    <mergeCell ref="B33:B36"/>
    <mergeCell ref="E39:E42"/>
    <mergeCell ref="F39:F42"/>
    <mergeCell ref="A31:H31"/>
    <mergeCell ref="G19:G20"/>
    <mergeCell ref="A3:G3"/>
    <mergeCell ref="A24:G24"/>
    <mergeCell ref="A5:A12"/>
    <mergeCell ref="G11:G12"/>
    <mergeCell ref="A13:A20"/>
    <mergeCell ref="G13:G14"/>
  </mergeCells>
  <phoneticPr fontId="9" type="noConversion"/>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2D6AA-916D-4427-B361-5898BBB8B544}">
  <sheetPr codeName="Sheet8"/>
  <dimension ref="A1:AQ78"/>
  <sheetViews>
    <sheetView workbookViewId="0">
      <selection sqref="A1:A2"/>
    </sheetView>
  </sheetViews>
  <sheetFormatPr defaultColWidth="8.85546875" defaultRowHeight="15"/>
  <cols>
    <col min="1" max="1" width="16.42578125" customWidth="1"/>
    <col min="2" max="4" width="11.42578125" customWidth="1"/>
    <col min="5" max="5" width="11.42578125" style="73" customWidth="1"/>
    <col min="6" max="8" width="11.42578125" customWidth="1"/>
    <col min="9" max="9" width="2.42578125" customWidth="1"/>
    <col min="15" max="24" width="15.42578125" customWidth="1"/>
    <col min="25" max="25" width="11.42578125" customWidth="1"/>
    <col min="26" max="26" width="7.42578125" customWidth="1"/>
    <col min="27" max="27" width="12.42578125" customWidth="1"/>
    <col min="28" max="43" width="6.42578125" customWidth="1"/>
  </cols>
  <sheetData>
    <row r="1" spans="1:43" ht="30" customHeight="1">
      <c r="A1" s="514" t="s">
        <v>190</v>
      </c>
      <c r="B1" s="515" t="s">
        <v>191</v>
      </c>
      <c r="C1" s="515"/>
      <c r="D1" s="515"/>
      <c r="E1" s="70"/>
      <c r="F1" s="511" t="s">
        <v>192</v>
      </c>
      <c r="G1" s="512"/>
      <c r="H1" s="512"/>
      <c r="I1" s="57"/>
      <c r="J1" s="513" t="s">
        <v>193</v>
      </c>
      <c r="K1" s="513"/>
      <c r="L1" s="68"/>
      <c r="M1" s="68"/>
      <c r="Z1" s="510" t="s">
        <v>194</v>
      </c>
      <c r="AA1" s="510"/>
      <c r="AB1" s="510"/>
      <c r="AC1" s="510"/>
      <c r="AD1" s="510"/>
      <c r="AE1" s="510"/>
      <c r="AF1" s="510"/>
      <c r="AG1" s="510"/>
      <c r="AH1" s="510"/>
      <c r="AI1" s="510"/>
      <c r="AJ1" s="510"/>
      <c r="AK1" s="510"/>
      <c r="AL1" s="510"/>
      <c r="AM1" s="510"/>
      <c r="AN1" s="510"/>
      <c r="AO1" s="510"/>
      <c r="AP1" s="510"/>
      <c r="AQ1" s="510"/>
    </row>
    <row r="2" spans="1:43" ht="30" customHeight="1">
      <c r="A2" s="514"/>
      <c r="B2" s="58" t="str">
        <f>AA28</f>
        <v>Saturation (Electric)</v>
      </c>
      <c r="C2" s="58" t="str">
        <f>AA2</f>
        <v>Saturation (Gas)</v>
      </c>
      <c r="D2" s="58" t="str">
        <f>AA55</f>
        <v>Saturation
(Other Fuels)</v>
      </c>
      <c r="E2" s="71"/>
      <c r="F2" s="67" t="e">
        <f>'HVAC System'!#REF!</f>
        <v>#REF!</v>
      </c>
      <c r="G2" s="67" t="e">
        <f>'HVAC System'!#REF!</f>
        <v>#REF!</v>
      </c>
      <c r="H2" s="67" t="e">
        <f>'HVAC System'!#REF!</f>
        <v>#REF!</v>
      </c>
      <c r="I2" s="55"/>
      <c r="J2" s="54" t="s">
        <v>195</v>
      </c>
      <c r="K2" s="54" t="s">
        <v>196</v>
      </c>
      <c r="L2" s="69"/>
      <c r="M2" s="69"/>
      <c r="O2" s="11" t="s">
        <v>197</v>
      </c>
      <c r="P2" s="4" t="s">
        <v>198</v>
      </c>
      <c r="Q2" s="4" t="s">
        <v>199</v>
      </c>
      <c r="R2" s="5" t="s">
        <v>200</v>
      </c>
      <c r="S2" s="5" t="s">
        <v>201</v>
      </c>
      <c r="T2" s="5" t="s">
        <v>202</v>
      </c>
      <c r="U2" s="5" t="s">
        <v>203</v>
      </c>
      <c r="V2" s="20" t="s">
        <v>204</v>
      </c>
      <c r="W2" s="20" t="s">
        <v>205</v>
      </c>
      <c r="X2" s="5" t="s">
        <v>206</v>
      </c>
      <c r="Y2" s="22"/>
      <c r="Z2" s="62"/>
      <c r="AA2" s="62" t="s">
        <v>205</v>
      </c>
      <c r="AB2" s="63">
        <v>1</v>
      </c>
      <c r="AC2" s="63">
        <v>2</v>
      </c>
      <c r="AD2" s="63">
        <v>3</v>
      </c>
      <c r="AE2" s="63">
        <v>4</v>
      </c>
      <c r="AF2" s="63">
        <v>5</v>
      </c>
      <c r="AG2" s="63">
        <v>6</v>
      </c>
      <c r="AH2" s="63">
        <v>7</v>
      </c>
      <c r="AI2" s="63">
        <v>8</v>
      </c>
      <c r="AJ2" s="63">
        <v>9</v>
      </c>
      <c r="AK2" s="63">
        <v>10</v>
      </c>
      <c r="AL2" s="63">
        <v>11</v>
      </c>
      <c r="AM2" s="63">
        <v>12</v>
      </c>
      <c r="AN2" s="63">
        <v>13</v>
      </c>
      <c r="AO2" s="63">
        <v>14</v>
      </c>
      <c r="AP2" s="63">
        <v>15</v>
      </c>
      <c r="AQ2" s="63">
        <v>16</v>
      </c>
    </row>
    <row r="3" spans="1:43">
      <c r="A3" s="29">
        <v>1</v>
      </c>
      <c r="B3" s="8">
        <f>AB51</f>
        <v>0.16953287025664909</v>
      </c>
      <c r="C3" s="8">
        <f>AB25</f>
        <v>0.79946567280119618</v>
      </c>
      <c r="D3" s="8">
        <f>AB78</f>
        <v>3.100145694215484E-2</v>
      </c>
      <c r="E3" s="72"/>
      <c r="F3" s="52" t="e">
        <f>'HVAC System'!#REF!</f>
        <v>#REF!</v>
      </c>
      <c r="G3" s="52" t="e">
        <f>'HVAC System'!#REF!</f>
        <v>#REF!</v>
      </c>
      <c r="H3" s="52" t="e">
        <f>'HVAC System'!#REF!</f>
        <v>#REF!</v>
      </c>
      <c r="I3" s="56"/>
      <c r="J3" s="92">
        <v>1</v>
      </c>
      <c r="K3" s="92">
        <v>4</v>
      </c>
      <c r="L3" s="1"/>
      <c r="M3" s="83" t="e">
        <f>B3-F3</f>
        <v>#REF!</v>
      </c>
      <c r="O3" s="14" t="s">
        <v>207</v>
      </c>
      <c r="P3" s="15" t="s">
        <v>208</v>
      </c>
      <c r="Q3" s="15" t="s">
        <v>161</v>
      </c>
      <c r="R3" s="16">
        <v>0.91160158583481499</v>
      </c>
      <c r="S3" s="16">
        <v>0.43376662308021102</v>
      </c>
      <c r="T3" s="16">
        <v>0.55528364756249704</v>
      </c>
      <c r="U3" s="16">
        <v>1.0949729357291899E-2</v>
      </c>
      <c r="V3" s="16">
        <v>0.39542234148213301</v>
      </c>
      <c r="W3" s="16">
        <v>0.5061974537061128</v>
      </c>
      <c r="X3" s="16">
        <v>9.9817906465693249E-3</v>
      </c>
      <c r="Y3" s="21"/>
      <c r="Z3" t="s">
        <v>209</v>
      </c>
      <c r="AA3" s="47">
        <f>AA18</f>
        <v>0.72768161312071966</v>
      </c>
      <c r="AB3" s="47">
        <f>$AA3*'FZ-CZ'!I30</f>
        <v>0.13024778246920285</v>
      </c>
      <c r="AC3" s="47">
        <f>$AA3*'FZ-CZ'!J30</f>
        <v>0</v>
      </c>
      <c r="AD3" s="47">
        <f>$AA3*'FZ-CZ'!K30</f>
        <v>0</v>
      </c>
      <c r="AE3" s="47">
        <f>$AA3*'FZ-CZ'!L30</f>
        <v>0</v>
      </c>
      <c r="AF3" s="47">
        <f>$AA3*'FZ-CZ'!M30</f>
        <v>0</v>
      </c>
      <c r="AG3" s="47">
        <f>$AA3*'FZ-CZ'!N30</f>
        <v>0</v>
      </c>
      <c r="AH3" s="47">
        <f>$AA3*'FZ-CZ'!O30</f>
        <v>0</v>
      </c>
      <c r="AI3" s="47">
        <f>$AA3*'FZ-CZ'!P30</f>
        <v>0</v>
      </c>
      <c r="AJ3" s="47">
        <f>$AA3*'FZ-CZ'!Q30</f>
        <v>0</v>
      </c>
      <c r="AK3" s="47">
        <f>$AA3*'FZ-CZ'!R30</f>
        <v>0</v>
      </c>
      <c r="AL3" s="47">
        <f>$AA3*'FZ-CZ'!S30</f>
        <v>3.0699879829198919E-3</v>
      </c>
      <c r="AM3" s="47">
        <f>$AA3*'FZ-CZ'!T30</f>
        <v>0</v>
      </c>
      <c r="AN3" s="47">
        <f>$AA3*'FZ-CZ'!U30</f>
        <v>0</v>
      </c>
      <c r="AO3" s="47">
        <f>$AA3*'FZ-CZ'!V30</f>
        <v>9.4461168705227443E-6</v>
      </c>
      <c r="AP3" s="47">
        <f>$AA3*'FZ-CZ'!W30</f>
        <v>2.3157155508086513E-2</v>
      </c>
      <c r="AQ3" s="47">
        <f>$AA3*'FZ-CZ'!X30</f>
        <v>0.57119724104363989</v>
      </c>
    </row>
    <row r="4" spans="1:43">
      <c r="A4" s="29">
        <v>2</v>
      </c>
      <c r="B4" s="8">
        <f>AC51</f>
        <v>0.11952452214019187</v>
      </c>
      <c r="C4" s="8">
        <f>AC25</f>
        <v>0.81406874065132717</v>
      </c>
      <c r="D4" s="8">
        <f>AC78</f>
        <v>6.6406737208481018E-2</v>
      </c>
      <c r="E4" s="72"/>
      <c r="F4" s="52" t="e">
        <f>'HVAC System'!#REF!</f>
        <v>#REF!</v>
      </c>
      <c r="G4" s="52" t="e">
        <f>'HVAC System'!#REF!</f>
        <v>#REF!</v>
      </c>
      <c r="H4" s="52" t="e">
        <f>'HVAC System'!#REF!</f>
        <v>#REF!</v>
      </c>
      <c r="I4" s="56"/>
      <c r="J4" s="92">
        <v>0</v>
      </c>
      <c r="K4" s="92">
        <v>5</v>
      </c>
      <c r="L4" s="1"/>
      <c r="M4" s="83" t="e">
        <f t="shared" ref="M4:M18" si="0">B4-F4</f>
        <v>#REF!</v>
      </c>
      <c r="O4" s="6" t="s">
        <v>210</v>
      </c>
      <c r="P4" s="7" t="s">
        <v>208</v>
      </c>
      <c r="Q4" s="7" t="s">
        <v>161</v>
      </c>
      <c r="R4" s="13">
        <v>0.913015137153385</v>
      </c>
      <c r="S4" s="13">
        <v>0.30732839182905403</v>
      </c>
      <c r="T4" s="13">
        <v>0.683792773703922</v>
      </c>
      <c r="U4" s="13">
        <v>8.8788344670240899E-3</v>
      </c>
      <c r="V4" s="13">
        <v>0.28059547381693301</v>
      </c>
      <c r="W4" s="13">
        <v>0.6243131530677799</v>
      </c>
      <c r="X4" s="13">
        <v>8.1065102686722016E-3</v>
      </c>
      <c r="Y4" s="21"/>
      <c r="Z4" s="23" t="s">
        <v>210</v>
      </c>
      <c r="AA4" s="47">
        <f t="shared" ref="AA4:AA14" si="1">W4</f>
        <v>0.6243131530677799</v>
      </c>
      <c r="AB4" s="47">
        <f>$AA4*'FZ-CZ'!I31</f>
        <v>0</v>
      </c>
      <c r="AC4" s="47">
        <f>$AA4*'FZ-CZ'!J31</f>
        <v>0</v>
      </c>
      <c r="AD4" s="47">
        <f>$AA4*'FZ-CZ'!K31</f>
        <v>0.32735025190516587</v>
      </c>
      <c r="AE4" s="47">
        <f>$AA4*'FZ-CZ'!L31</f>
        <v>0.18971677917470214</v>
      </c>
      <c r="AF4" s="47">
        <f>$AA4*'FZ-CZ'!M31</f>
        <v>0</v>
      </c>
      <c r="AG4" s="47">
        <f>$AA4*'FZ-CZ'!N31</f>
        <v>0</v>
      </c>
      <c r="AH4" s="47">
        <f>$AA4*'FZ-CZ'!O31</f>
        <v>0</v>
      </c>
      <c r="AI4" s="47">
        <f>$AA4*'FZ-CZ'!P31</f>
        <v>0</v>
      </c>
      <c r="AJ4" s="47">
        <f>$AA4*'FZ-CZ'!Q31</f>
        <v>0</v>
      </c>
      <c r="AK4" s="47">
        <f>$AA4*'FZ-CZ'!R31</f>
        <v>0</v>
      </c>
      <c r="AL4" s="47">
        <f>$AA4*'FZ-CZ'!S31</f>
        <v>0</v>
      </c>
      <c r="AM4" s="47">
        <f>$AA4*'FZ-CZ'!T31</f>
        <v>0.10724612198791186</v>
      </c>
      <c r="AN4" s="47">
        <f>$AA4*'FZ-CZ'!U31</f>
        <v>0</v>
      </c>
      <c r="AO4" s="47">
        <f>$AA4*'FZ-CZ'!V31</f>
        <v>0</v>
      </c>
      <c r="AP4" s="47">
        <f>$AA4*'FZ-CZ'!W31</f>
        <v>0</v>
      </c>
      <c r="AQ4" s="47">
        <f>$AA4*'FZ-CZ'!X31</f>
        <v>0</v>
      </c>
    </row>
    <row r="5" spans="1:43">
      <c r="A5" s="29">
        <v>3</v>
      </c>
      <c r="B5" s="8">
        <f>AD51</f>
        <v>0.27164112770723664</v>
      </c>
      <c r="C5" s="8">
        <f>AD25</f>
        <v>0.71741247932531427</v>
      </c>
      <c r="D5" s="8">
        <f>AD78</f>
        <v>1.0946392967449189E-2</v>
      </c>
      <c r="E5" s="72"/>
      <c r="F5" s="52" t="e">
        <f>'HVAC System'!#REF!</f>
        <v>#REF!</v>
      </c>
      <c r="G5" s="52" t="e">
        <f>'HVAC System'!#REF!</f>
        <v>#REF!</v>
      </c>
      <c r="H5" s="52" t="e">
        <f>'HVAC System'!#REF!</f>
        <v>#REF!</v>
      </c>
      <c r="I5" s="56"/>
      <c r="J5" s="92">
        <v>1</v>
      </c>
      <c r="K5" s="92">
        <v>4</v>
      </c>
      <c r="L5" s="1"/>
      <c r="M5" s="83" t="e">
        <f t="shared" si="0"/>
        <v>#REF!</v>
      </c>
      <c r="O5" s="6" t="s">
        <v>211</v>
      </c>
      <c r="P5" s="7" t="s">
        <v>208</v>
      </c>
      <c r="Q5" s="7" t="s">
        <v>161</v>
      </c>
      <c r="R5" s="13">
        <v>0.86214134248327801</v>
      </c>
      <c r="S5" s="13">
        <v>0.11930352976413799</v>
      </c>
      <c r="T5" s="13">
        <v>0.81413327321005802</v>
      </c>
      <c r="U5" s="13">
        <v>6.65631970258036E-2</v>
      </c>
      <c r="V5" s="13">
        <v>0.10285650531384764</v>
      </c>
      <c r="W5" s="13">
        <v>0.70189795312562475</v>
      </c>
      <c r="X5" s="13">
        <v>5.738688404380525E-2</v>
      </c>
      <c r="Y5" s="21"/>
      <c r="Z5" s="23" t="s">
        <v>211</v>
      </c>
      <c r="AA5" s="47">
        <f t="shared" si="1"/>
        <v>0.70189795312562475</v>
      </c>
      <c r="AB5" s="47">
        <f>$AA5*'FZ-CZ'!I32</f>
        <v>9.4836442158976478E-2</v>
      </c>
      <c r="AC5" s="47">
        <f>$AA5*'FZ-CZ'!J32</f>
        <v>0.56290841568376804</v>
      </c>
      <c r="AD5" s="47">
        <f>$AA5*'FZ-CZ'!K32</f>
        <v>4.4114250027562217E-2</v>
      </c>
      <c r="AE5" s="47">
        <f>$AA5*'FZ-CZ'!L32</f>
        <v>0</v>
      </c>
      <c r="AF5" s="47">
        <f>$AA5*'FZ-CZ'!M32</f>
        <v>0</v>
      </c>
      <c r="AG5" s="47">
        <f>$AA5*'FZ-CZ'!N32</f>
        <v>0</v>
      </c>
      <c r="AH5" s="47">
        <f>$AA5*'FZ-CZ'!O32</f>
        <v>0</v>
      </c>
      <c r="AI5" s="47">
        <f>$AA5*'FZ-CZ'!P32</f>
        <v>0</v>
      </c>
      <c r="AJ5" s="47">
        <f>$AA5*'FZ-CZ'!Q32</f>
        <v>0</v>
      </c>
      <c r="AK5" s="47">
        <f>$AA5*'FZ-CZ'!R32</f>
        <v>0</v>
      </c>
      <c r="AL5" s="47">
        <f>$AA5*'FZ-CZ'!S32</f>
        <v>0</v>
      </c>
      <c r="AM5" s="47">
        <f>$AA5*'FZ-CZ'!T32</f>
        <v>0</v>
      </c>
      <c r="AN5" s="47">
        <f>$AA5*'FZ-CZ'!U32</f>
        <v>0</v>
      </c>
      <c r="AO5" s="47">
        <f>$AA5*'FZ-CZ'!V32</f>
        <v>0</v>
      </c>
      <c r="AP5" s="47">
        <f>$AA5*'FZ-CZ'!W32</f>
        <v>0</v>
      </c>
      <c r="AQ5" s="47">
        <f>$AA5*'FZ-CZ'!X32</f>
        <v>3.8845255317950801E-5</v>
      </c>
    </row>
    <row r="6" spans="1:43">
      <c r="A6" s="29">
        <v>4</v>
      </c>
      <c r="B6" s="8">
        <f>AE51</f>
        <v>0.28943550224992476</v>
      </c>
      <c r="C6" s="8">
        <f>AE25</f>
        <v>0.70401752155499331</v>
      </c>
      <c r="D6" s="8">
        <f>AE78</f>
        <v>6.5469761950820637E-3</v>
      </c>
      <c r="E6" s="72"/>
      <c r="F6" s="52" t="e">
        <f>'HVAC System'!#REF!</f>
        <v>#REF!</v>
      </c>
      <c r="G6" s="52" t="e">
        <f>'HVAC System'!#REF!</f>
        <v>#REF!</v>
      </c>
      <c r="H6" s="52" t="e">
        <f>'HVAC System'!#REF!</f>
        <v>#REF!</v>
      </c>
      <c r="I6" s="56"/>
      <c r="J6" s="92">
        <v>1</v>
      </c>
      <c r="K6" s="92">
        <v>4</v>
      </c>
      <c r="L6" s="1"/>
      <c r="M6" s="83" t="e">
        <f t="shared" si="0"/>
        <v>#REF!</v>
      </c>
      <c r="O6" s="6" t="s">
        <v>212</v>
      </c>
      <c r="P6" s="7" t="s">
        <v>208</v>
      </c>
      <c r="Q6" s="7" t="s">
        <v>161</v>
      </c>
      <c r="R6" s="13">
        <v>0.89761067258268601</v>
      </c>
      <c r="S6" s="13">
        <v>0.25361457950326799</v>
      </c>
      <c r="T6" s="13">
        <v>0.66491077160192602</v>
      </c>
      <c r="U6" s="13">
        <v>8.1474648894806295E-2</v>
      </c>
      <c r="V6" s="13">
        <v>0.22764715328470347</v>
      </c>
      <c r="W6" s="13">
        <v>0.59683100490507757</v>
      </c>
      <c r="X6" s="13">
        <v>7.3132514392905273E-2</v>
      </c>
      <c r="Y6" s="21"/>
      <c r="Z6" s="23" t="s">
        <v>212</v>
      </c>
      <c r="AA6" s="47">
        <f t="shared" si="1"/>
        <v>0.59683100490507757</v>
      </c>
      <c r="AB6" s="47">
        <f>$AA6*'FZ-CZ'!I33</f>
        <v>0</v>
      </c>
      <c r="AC6" s="47">
        <f>$AA6*'FZ-CZ'!J33</f>
        <v>0</v>
      </c>
      <c r="AD6" s="47">
        <f>$AA6*'FZ-CZ'!K33</f>
        <v>0</v>
      </c>
      <c r="AE6" s="47">
        <f>$AA6*'FZ-CZ'!L33</f>
        <v>0</v>
      </c>
      <c r="AF6" s="47">
        <f>$AA6*'FZ-CZ'!M33</f>
        <v>0</v>
      </c>
      <c r="AG6" s="47">
        <f>$AA6*'FZ-CZ'!N33</f>
        <v>0</v>
      </c>
      <c r="AH6" s="47">
        <f>$AA6*'FZ-CZ'!O33</f>
        <v>0</v>
      </c>
      <c r="AI6" s="47">
        <f>$AA6*'FZ-CZ'!P33</f>
        <v>0</v>
      </c>
      <c r="AJ6" s="47">
        <f>$AA6*'FZ-CZ'!Q33</f>
        <v>0</v>
      </c>
      <c r="AK6" s="47">
        <f>$AA6*'FZ-CZ'!R33</f>
        <v>0</v>
      </c>
      <c r="AL6" s="47">
        <f>$AA6*'FZ-CZ'!S33</f>
        <v>0.5059475223734583</v>
      </c>
      <c r="AM6" s="47">
        <f>$AA6*'FZ-CZ'!T33</f>
        <v>0</v>
      </c>
      <c r="AN6" s="47">
        <f>$AA6*'FZ-CZ'!U33</f>
        <v>0</v>
      </c>
      <c r="AO6" s="47">
        <f>$AA6*'FZ-CZ'!V33</f>
        <v>0</v>
      </c>
      <c r="AP6" s="47">
        <f>$AA6*'FZ-CZ'!W33</f>
        <v>0</v>
      </c>
      <c r="AQ6" s="47">
        <f>$AA6*'FZ-CZ'!X33</f>
        <v>9.0883482531619278E-2</v>
      </c>
    </row>
    <row r="7" spans="1:43">
      <c r="A7" s="29">
        <v>5</v>
      </c>
      <c r="B7" s="8">
        <f>AF51</f>
        <v>0.25624227721470549</v>
      </c>
      <c r="C7" s="8">
        <f>AF25</f>
        <v>0.74175930496762188</v>
      </c>
      <c r="D7" s="8">
        <f>AF78</f>
        <v>1.9984178176727175E-3</v>
      </c>
      <c r="E7" s="72"/>
      <c r="F7" s="52" t="e">
        <f>'HVAC System'!#REF!</f>
        <v>#REF!</v>
      </c>
      <c r="G7" s="52" t="e">
        <f>'HVAC System'!#REF!</f>
        <v>#REF!</v>
      </c>
      <c r="H7" s="52" t="e">
        <f>'HVAC System'!#REF!</f>
        <v>#REF!</v>
      </c>
      <c r="I7" s="56"/>
      <c r="J7" s="92">
        <v>1</v>
      </c>
      <c r="K7" s="92">
        <v>4</v>
      </c>
      <c r="L7" s="1"/>
      <c r="M7" s="83" t="e">
        <f t="shared" si="0"/>
        <v>#REF!</v>
      </c>
      <c r="O7" s="6" t="s">
        <v>213</v>
      </c>
      <c r="P7" s="7" t="s">
        <v>208</v>
      </c>
      <c r="Q7" s="7" t="s">
        <v>161</v>
      </c>
      <c r="R7" s="13">
        <v>0.89761067258268601</v>
      </c>
      <c r="S7" s="13">
        <v>0.25361457950326799</v>
      </c>
      <c r="T7" s="13">
        <v>0.66491077160192602</v>
      </c>
      <c r="U7" s="13">
        <v>8.1474648894806295E-2</v>
      </c>
      <c r="V7" s="13">
        <v>0.22764715328470347</v>
      </c>
      <c r="W7" s="13">
        <v>0.59683100490507757</v>
      </c>
      <c r="X7" s="13">
        <v>7.3132514392905273E-2</v>
      </c>
      <c r="Y7" s="21"/>
      <c r="Z7" s="23" t="s">
        <v>213</v>
      </c>
      <c r="AA7" s="47">
        <f t="shared" si="1"/>
        <v>0.59683100490507757</v>
      </c>
      <c r="AB7" s="47">
        <f>$AA7*'FZ-CZ'!I34</f>
        <v>0</v>
      </c>
      <c r="AC7" s="47">
        <f>$AA7*'FZ-CZ'!J34</f>
        <v>0</v>
      </c>
      <c r="AD7" s="47">
        <f>$AA7*'FZ-CZ'!K34</f>
        <v>2.1714037635106216E-2</v>
      </c>
      <c r="AE7" s="47">
        <f>$AA7*'FZ-CZ'!L34</f>
        <v>0</v>
      </c>
      <c r="AF7" s="47">
        <f>$AA7*'FZ-CZ'!M34</f>
        <v>0</v>
      </c>
      <c r="AG7" s="47">
        <f>$AA7*'FZ-CZ'!N34</f>
        <v>0</v>
      </c>
      <c r="AH7" s="47">
        <f>$AA7*'FZ-CZ'!O34</f>
        <v>0</v>
      </c>
      <c r="AI7" s="47">
        <f>$AA7*'FZ-CZ'!P34</f>
        <v>0</v>
      </c>
      <c r="AJ7" s="47">
        <f>$AA7*'FZ-CZ'!Q34</f>
        <v>0</v>
      </c>
      <c r="AK7" s="47">
        <f>$AA7*'FZ-CZ'!R34</f>
        <v>0</v>
      </c>
      <c r="AL7" s="47">
        <f>$AA7*'FZ-CZ'!S34</f>
        <v>0.13172999242553021</v>
      </c>
      <c r="AM7" s="47">
        <f>$AA7*'FZ-CZ'!T34</f>
        <v>0.43333264452745984</v>
      </c>
      <c r="AN7" s="47">
        <f>$AA7*'FZ-CZ'!U34</f>
        <v>0</v>
      </c>
      <c r="AO7" s="47">
        <f>$AA7*'FZ-CZ'!V34</f>
        <v>0</v>
      </c>
      <c r="AP7" s="47">
        <f>$AA7*'FZ-CZ'!W34</f>
        <v>0</v>
      </c>
      <c r="AQ7" s="47">
        <f>$AA7*'FZ-CZ'!X34</f>
        <v>1.0054330316981356E-2</v>
      </c>
    </row>
    <row r="8" spans="1:43">
      <c r="A8" s="29">
        <v>6</v>
      </c>
      <c r="B8" s="8">
        <f>AG51</f>
        <v>0.55379956738529079</v>
      </c>
      <c r="C8" s="8">
        <f>AG25</f>
        <v>0.44607772463966916</v>
      </c>
      <c r="D8" s="8">
        <f>AG78</f>
        <v>1.2270797504002949E-4</v>
      </c>
      <c r="E8" s="72"/>
      <c r="F8" s="52" t="e">
        <f>'HVAC System'!#REF!</f>
        <v>#REF!</v>
      </c>
      <c r="G8" s="52" t="e">
        <f>'HVAC System'!#REF!</f>
        <v>#REF!</v>
      </c>
      <c r="H8" s="52" t="e">
        <f>'HVAC System'!#REF!</f>
        <v>#REF!</v>
      </c>
      <c r="I8" s="56"/>
      <c r="J8" s="92">
        <v>3</v>
      </c>
      <c r="K8" s="92">
        <v>2</v>
      </c>
      <c r="L8" s="1"/>
      <c r="M8" s="83" t="e">
        <f t="shared" si="0"/>
        <v>#REF!</v>
      </c>
      <c r="O8" s="6" t="s">
        <v>214</v>
      </c>
      <c r="P8" s="7" t="s">
        <v>208</v>
      </c>
      <c r="Q8" s="7" t="s">
        <v>161</v>
      </c>
      <c r="R8" s="13">
        <v>0.92215011146483605</v>
      </c>
      <c r="S8" s="13">
        <v>0.20498208869885901</v>
      </c>
      <c r="T8" s="13">
        <v>0.78911405428862003</v>
      </c>
      <c r="U8" s="13">
        <v>5.9038570125219403E-3</v>
      </c>
      <c r="V8" s="13">
        <v>0.18902425594194774</v>
      </c>
      <c r="W8" s="13">
        <v>0.72768161312071966</v>
      </c>
      <c r="X8" s="13">
        <v>5.4442424021695609E-3</v>
      </c>
      <c r="Y8" s="21"/>
      <c r="Z8" s="23" t="s">
        <v>214</v>
      </c>
      <c r="AA8" s="47">
        <f t="shared" si="1"/>
        <v>0.72768161312071966</v>
      </c>
      <c r="AB8" s="47">
        <f>$AA8*'FZ-CZ'!I35</f>
        <v>0</v>
      </c>
      <c r="AC8" s="47">
        <f>$AA8*'FZ-CZ'!J35</f>
        <v>0</v>
      </c>
      <c r="AD8" s="47">
        <f>$AA8*'FZ-CZ'!K35</f>
        <v>0</v>
      </c>
      <c r="AE8" s="47">
        <f>$AA8*'FZ-CZ'!L35</f>
        <v>0</v>
      </c>
      <c r="AF8" s="47">
        <f>$AA8*'FZ-CZ'!M35</f>
        <v>0</v>
      </c>
      <c r="AG8" s="47">
        <f>$AA8*'FZ-CZ'!N35</f>
        <v>0</v>
      </c>
      <c r="AH8" s="47">
        <f>$AA8*'FZ-CZ'!O35</f>
        <v>0</v>
      </c>
      <c r="AI8" s="47">
        <f>$AA8*'FZ-CZ'!P35</f>
        <v>0</v>
      </c>
      <c r="AJ8" s="47">
        <f>$AA8*'FZ-CZ'!Q35</f>
        <v>0</v>
      </c>
      <c r="AK8" s="47">
        <f>$AA8*'FZ-CZ'!R35</f>
        <v>0</v>
      </c>
      <c r="AL8" s="47">
        <f>$AA8*'FZ-CZ'!S35</f>
        <v>0</v>
      </c>
      <c r="AM8" s="47">
        <f>$AA8*'FZ-CZ'!T35</f>
        <v>3.3143556449130279E-2</v>
      </c>
      <c r="AN8" s="47">
        <f>$AA8*'FZ-CZ'!U35</f>
        <v>0.68988459631831123</v>
      </c>
      <c r="AO8" s="47">
        <f>$AA8*'FZ-CZ'!V35</f>
        <v>0</v>
      </c>
      <c r="AP8" s="47">
        <f>$AA8*'FZ-CZ'!W35</f>
        <v>0</v>
      </c>
      <c r="AQ8" s="47">
        <f>$AA8*'FZ-CZ'!X35</f>
        <v>4.6534603532781549E-3</v>
      </c>
    </row>
    <row r="9" spans="1:43">
      <c r="A9" s="29">
        <v>7</v>
      </c>
      <c r="B9" s="8">
        <f>AH51</f>
        <v>0.50121672124725547</v>
      </c>
      <c r="C9" s="8">
        <f>AH25</f>
        <v>0.49683034399327042</v>
      </c>
      <c r="D9" s="8">
        <f>AH78</f>
        <v>1.9529347594739587E-3</v>
      </c>
      <c r="E9" s="72"/>
      <c r="F9" s="52" t="e">
        <f>'HVAC System'!#REF!</f>
        <v>#REF!</v>
      </c>
      <c r="G9" s="52" t="e">
        <f>'HVAC System'!#REF!</f>
        <v>#REF!</v>
      </c>
      <c r="H9" s="52" t="e">
        <f>'HVAC System'!#REF!</f>
        <v>#REF!</v>
      </c>
      <c r="I9" s="56"/>
      <c r="J9" s="85">
        <v>2</v>
      </c>
      <c r="K9" s="85">
        <v>3</v>
      </c>
      <c r="L9" s="1"/>
      <c r="M9" s="83" t="e">
        <f t="shared" si="0"/>
        <v>#REF!</v>
      </c>
      <c r="O9" s="6" t="s">
        <v>215</v>
      </c>
      <c r="P9" s="7" t="s">
        <v>208</v>
      </c>
      <c r="Q9" s="7" t="s">
        <v>161</v>
      </c>
      <c r="R9" s="13">
        <v>0.92647550734030604</v>
      </c>
      <c r="S9" s="13">
        <v>0.25462062143847902</v>
      </c>
      <c r="T9" s="13">
        <v>0.74336958835016798</v>
      </c>
      <c r="U9" s="13">
        <v>2.00979021135256E-3</v>
      </c>
      <c r="V9" s="13">
        <v>0.23589976942651886</v>
      </c>
      <c r="W9" s="13">
        <v>0.68871371650807633</v>
      </c>
      <c r="X9" s="13">
        <v>1.8620214057104439E-3</v>
      </c>
      <c r="Y9" s="21"/>
      <c r="Z9" s="23" t="s">
        <v>215</v>
      </c>
      <c r="AA9" s="47">
        <f t="shared" si="1"/>
        <v>0.68871371650807633</v>
      </c>
      <c r="AB9" s="47">
        <f>$AA9*'FZ-CZ'!I36</f>
        <v>0</v>
      </c>
      <c r="AC9" s="47">
        <f>$AA9*'FZ-CZ'!J36</f>
        <v>0</v>
      </c>
      <c r="AD9" s="47">
        <f>$AA9*'FZ-CZ'!K36</f>
        <v>0.35993730722098183</v>
      </c>
      <c r="AE9" s="47">
        <f>$AA9*'FZ-CZ'!L36</f>
        <v>0.10599895778063531</v>
      </c>
      <c r="AF9" s="47">
        <f>$AA9*'FZ-CZ'!M36</f>
        <v>0.22269469655638904</v>
      </c>
      <c r="AG9" s="47">
        <f>$AA9*'FZ-CZ'!N36</f>
        <v>8.2754950070123011E-5</v>
      </c>
      <c r="AH9" s="47">
        <f>$AA9*'FZ-CZ'!O36</f>
        <v>0</v>
      </c>
      <c r="AI9" s="47">
        <f>$AA9*'FZ-CZ'!P36</f>
        <v>0</v>
      </c>
      <c r="AJ9" s="47">
        <f>$AA9*'FZ-CZ'!Q36</f>
        <v>0</v>
      </c>
      <c r="AK9" s="47">
        <f>$AA9*'FZ-CZ'!R36</f>
        <v>0</v>
      </c>
      <c r="AL9" s="47">
        <f>$AA9*'FZ-CZ'!S36</f>
        <v>0</v>
      </c>
      <c r="AM9" s="47">
        <f>$AA9*'FZ-CZ'!T36</f>
        <v>0</v>
      </c>
      <c r="AN9" s="47">
        <f>$AA9*'FZ-CZ'!U36</f>
        <v>0</v>
      </c>
      <c r="AO9" s="47">
        <f>$AA9*'FZ-CZ'!V36</f>
        <v>0</v>
      </c>
      <c r="AP9" s="47">
        <f>$AA9*'FZ-CZ'!W36</f>
        <v>0</v>
      </c>
      <c r="AQ9" s="47">
        <f>$AA9*'FZ-CZ'!X36</f>
        <v>0</v>
      </c>
    </row>
    <row r="10" spans="1:43">
      <c r="A10" s="29">
        <v>8</v>
      </c>
      <c r="B10" s="8">
        <f>AI51</f>
        <v>0.59973366278841578</v>
      </c>
      <c r="C10" s="8">
        <f>AI25</f>
        <v>0.40021386522079</v>
      </c>
      <c r="D10" s="8">
        <f>AI78</f>
        <v>5.2471990794081334E-5</v>
      </c>
      <c r="E10" s="72"/>
      <c r="F10" s="52" t="e">
        <f>'HVAC System'!#REF!</f>
        <v>#REF!</v>
      </c>
      <c r="G10" s="52" t="e">
        <f>'HVAC System'!#REF!</f>
        <v>#REF!</v>
      </c>
      <c r="H10" s="52" t="e">
        <f>'HVAC System'!#REF!</f>
        <v>#REF!</v>
      </c>
      <c r="I10" s="56"/>
      <c r="J10" s="92">
        <v>3</v>
      </c>
      <c r="K10" s="92">
        <v>2</v>
      </c>
      <c r="L10" s="1"/>
      <c r="M10" s="83" t="e">
        <f t="shared" si="0"/>
        <v>#REF!</v>
      </c>
      <c r="O10" s="17" t="s">
        <v>216</v>
      </c>
      <c r="P10" s="7" t="s">
        <v>208</v>
      </c>
      <c r="Q10" s="7" t="s">
        <v>161</v>
      </c>
      <c r="R10" s="18">
        <v>0.95232641393717099</v>
      </c>
      <c r="S10" s="18">
        <v>0.66151275494356798</v>
      </c>
      <c r="T10" s="18">
        <v>0.33848724505643202</v>
      </c>
      <c r="U10" s="18">
        <v>0</v>
      </c>
      <c r="V10" s="86">
        <v>0.62997606968910669</v>
      </c>
      <c r="W10" s="86">
        <v>0.3223503442480643</v>
      </c>
      <c r="X10" s="18">
        <v>0</v>
      </c>
      <c r="Y10" s="21"/>
      <c r="Z10" s="24" t="s">
        <v>216</v>
      </c>
      <c r="AA10" s="47">
        <f t="shared" si="1"/>
        <v>0.3223503442480643</v>
      </c>
      <c r="AB10" s="47">
        <f>$AA10*'FZ-CZ'!I37</f>
        <v>0</v>
      </c>
      <c r="AC10" s="47">
        <f>$AA10*'FZ-CZ'!J37</f>
        <v>0</v>
      </c>
      <c r="AD10" s="47">
        <f>$AA10*'FZ-CZ'!K37</f>
        <v>0</v>
      </c>
      <c r="AE10" s="47">
        <f>$AA10*'FZ-CZ'!L37</f>
        <v>0</v>
      </c>
      <c r="AF10" s="47">
        <f>$AA10*'FZ-CZ'!M37</f>
        <v>0</v>
      </c>
      <c r="AG10" s="47">
        <f>$AA10*'FZ-CZ'!N37</f>
        <v>6.089101749171736E-2</v>
      </c>
      <c r="AH10" s="47">
        <f>$AA10*'FZ-CZ'!O37</f>
        <v>0</v>
      </c>
      <c r="AI10" s="47">
        <f>$AA10*'FZ-CZ'!P37</f>
        <v>0.14179111845703599</v>
      </c>
      <c r="AJ10" s="47">
        <f>$AA10*'FZ-CZ'!Q37</f>
        <v>0.10408929456876465</v>
      </c>
      <c r="AK10" s="47">
        <f>$AA10*'FZ-CZ'!R37</f>
        <v>0</v>
      </c>
      <c r="AL10" s="47">
        <f>$AA10*'FZ-CZ'!S37</f>
        <v>0</v>
      </c>
      <c r="AM10" s="47">
        <f>$AA10*'FZ-CZ'!T37</f>
        <v>0</v>
      </c>
      <c r="AN10" s="47">
        <f>$AA10*'FZ-CZ'!U37</f>
        <v>0</v>
      </c>
      <c r="AO10" s="47">
        <f>$AA10*'FZ-CZ'!V37</f>
        <v>1.4524958364181301E-2</v>
      </c>
      <c r="AP10" s="47">
        <f>$AA10*'FZ-CZ'!W37</f>
        <v>0</v>
      </c>
      <c r="AQ10" s="47">
        <f>$AA10*'FZ-CZ'!X37</f>
        <v>1.0539553663650118E-3</v>
      </c>
    </row>
    <row r="11" spans="1:43">
      <c r="A11" s="29">
        <v>9</v>
      </c>
      <c r="B11" s="66">
        <f>AJ51</f>
        <v>0.42660407455144062</v>
      </c>
      <c r="C11" s="66">
        <f>AJ25</f>
        <v>0.57339592544855944</v>
      </c>
      <c r="D11" s="8">
        <f>AJ78</f>
        <v>0</v>
      </c>
      <c r="E11" s="72"/>
      <c r="F11" s="84" t="e">
        <f>'HVAC System'!#REF!</f>
        <v>#REF!</v>
      </c>
      <c r="G11" s="84" t="e">
        <f>'HVAC System'!#REF!</f>
        <v>#REF!</v>
      </c>
      <c r="H11" s="52" t="e">
        <f>'HVAC System'!#REF!</f>
        <v>#REF!</v>
      </c>
      <c r="I11" s="56"/>
      <c r="J11" s="92">
        <v>3</v>
      </c>
      <c r="K11" s="92">
        <v>2</v>
      </c>
      <c r="L11" s="1"/>
      <c r="M11" s="83" t="e">
        <f t="shared" si="0"/>
        <v>#REF!</v>
      </c>
      <c r="O11" s="17" t="s">
        <v>217</v>
      </c>
      <c r="P11" s="7" t="s">
        <v>208</v>
      </c>
      <c r="Q11" s="7" t="s">
        <v>161</v>
      </c>
      <c r="R11" s="18">
        <v>0.93208847308618303</v>
      </c>
      <c r="S11" s="18">
        <v>0.54120830007463705</v>
      </c>
      <c r="T11" s="18">
        <v>0.45879169992536301</v>
      </c>
      <c r="U11" s="18">
        <v>0</v>
      </c>
      <c r="V11" s="86">
        <v>0.50445401803813705</v>
      </c>
      <c r="W11" s="86">
        <v>0.42763445504804587</v>
      </c>
      <c r="X11" s="18">
        <v>0</v>
      </c>
      <c r="Y11" s="21"/>
      <c r="Z11" s="24" t="s">
        <v>217</v>
      </c>
      <c r="AA11" s="47">
        <f t="shared" si="1"/>
        <v>0.42763445504804587</v>
      </c>
      <c r="AB11" s="47">
        <f>$AA11*'FZ-CZ'!I38</f>
        <v>0</v>
      </c>
      <c r="AC11" s="47">
        <f>$AA11*'FZ-CZ'!J38</f>
        <v>0</v>
      </c>
      <c r="AD11" s="47">
        <f>$AA11*'FZ-CZ'!K38</f>
        <v>0</v>
      </c>
      <c r="AE11" s="47">
        <f>$AA11*'FZ-CZ'!L38</f>
        <v>0</v>
      </c>
      <c r="AF11" s="47">
        <f>$AA11*'FZ-CZ'!M38</f>
        <v>7.8214311944911207E-4</v>
      </c>
      <c r="AG11" s="47">
        <f>$AA11*'FZ-CZ'!N38</f>
        <v>0.26166234953104983</v>
      </c>
      <c r="AH11" s="47">
        <f>$AA11*'FZ-CZ'!O38</f>
        <v>0</v>
      </c>
      <c r="AI11" s="47">
        <f>$AA11*'FZ-CZ'!P38</f>
        <v>0</v>
      </c>
      <c r="AJ11" s="47">
        <f>$AA11*'FZ-CZ'!Q38</f>
        <v>0.1591581948616459</v>
      </c>
      <c r="AK11" s="47">
        <f>$AA11*'FZ-CZ'!R38</f>
        <v>0</v>
      </c>
      <c r="AL11" s="47">
        <f>$AA11*'FZ-CZ'!S38</f>
        <v>0</v>
      </c>
      <c r="AM11" s="47">
        <f>$AA11*'FZ-CZ'!T38</f>
        <v>0</v>
      </c>
      <c r="AN11" s="47">
        <f>$AA11*'FZ-CZ'!U38</f>
        <v>0</v>
      </c>
      <c r="AO11" s="47">
        <f>$AA11*'FZ-CZ'!V38</f>
        <v>0</v>
      </c>
      <c r="AP11" s="47">
        <f>$AA11*'FZ-CZ'!W38</f>
        <v>0</v>
      </c>
      <c r="AQ11" s="47">
        <f>$AA11*'FZ-CZ'!X38</f>
        <v>6.0317675359010496E-3</v>
      </c>
    </row>
    <row r="12" spans="1:43">
      <c r="A12" s="29">
        <v>10</v>
      </c>
      <c r="B12" s="8">
        <f>AK51</f>
        <v>0.50218471834066858</v>
      </c>
      <c r="C12" s="8">
        <f>AK25</f>
        <v>0.49406450337237073</v>
      </c>
      <c r="D12" s="8">
        <f>AK78</f>
        <v>3.7507782869606321E-3</v>
      </c>
      <c r="E12" s="72"/>
      <c r="F12" s="52" t="e">
        <f>'HVAC System'!#REF!</f>
        <v>#REF!</v>
      </c>
      <c r="G12" s="52" t="e">
        <f>'HVAC System'!#REF!</f>
        <v>#REF!</v>
      </c>
      <c r="H12" s="52" t="e">
        <f>'HVAC System'!#REF!</f>
        <v>#REF!</v>
      </c>
      <c r="I12" s="56"/>
      <c r="J12" s="85">
        <v>2</v>
      </c>
      <c r="K12" s="85">
        <v>3</v>
      </c>
      <c r="L12" s="1"/>
      <c r="M12" s="83" t="e">
        <f t="shared" si="0"/>
        <v>#REF!</v>
      </c>
      <c r="O12" s="17" t="s">
        <v>218</v>
      </c>
      <c r="P12" s="7" t="s">
        <v>208</v>
      </c>
      <c r="Q12" s="7" t="s">
        <v>161</v>
      </c>
      <c r="R12" s="18">
        <v>0.94526480719865702</v>
      </c>
      <c r="S12" s="18">
        <v>5.9542837671763001E-2</v>
      </c>
      <c r="T12" s="18">
        <v>0.91122329330998597</v>
      </c>
      <c r="U12" s="18">
        <v>2.92338690182509E-2</v>
      </c>
      <c r="V12" s="87">
        <v>5.6283748971859983E-2</v>
      </c>
      <c r="W12" s="87">
        <v>0.86134731066558923</v>
      </c>
      <c r="X12" s="18">
        <v>2.763374756120773E-2</v>
      </c>
      <c r="Y12" s="21"/>
      <c r="Z12" s="24" t="s">
        <v>218</v>
      </c>
      <c r="AA12" s="47">
        <f t="shared" si="1"/>
        <v>0.86134731066558923</v>
      </c>
      <c r="AB12" s="47">
        <f>$AA12*'FZ-CZ'!I39</f>
        <v>0</v>
      </c>
      <c r="AC12" s="47">
        <f>$AA12*'FZ-CZ'!J39</f>
        <v>0</v>
      </c>
      <c r="AD12" s="47">
        <f>$AA12*'FZ-CZ'!K39</f>
        <v>0</v>
      </c>
      <c r="AE12" s="47">
        <f>$AA12*'FZ-CZ'!L39</f>
        <v>0</v>
      </c>
      <c r="AF12" s="47">
        <f>$AA12*'FZ-CZ'!M39</f>
        <v>0</v>
      </c>
      <c r="AG12" s="47">
        <f>$AA12*'FZ-CZ'!N39</f>
        <v>0</v>
      </c>
      <c r="AH12" s="47">
        <f>$AA12*'FZ-CZ'!O39</f>
        <v>0</v>
      </c>
      <c r="AI12" s="47">
        <f>$AA12*'FZ-CZ'!P39</f>
        <v>0</v>
      </c>
      <c r="AJ12" s="47">
        <f>$AA12*'FZ-CZ'!Q39</f>
        <v>0</v>
      </c>
      <c r="AK12" s="47">
        <f>$AA12*'FZ-CZ'!R39</f>
        <v>0</v>
      </c>
      <c r="AL12" s="47">
        <f>$AA12*'FZ-CZ'!S39</f>
        <v>0</v>
      </c>
      <c r="AM12" s="47">
        <f>$AA12*'FZ-CZ'!T39</f>
        <v>0</v>
      </c>
      <c r="AN12" s="47">
        <f>$AA12*'FZ-CZ'!U39</f>
        <v>0.67604574668761308</v>
      </c>
      <c r="AO12" s="47">
        <f>$AA12*'FZ-CZ'!V39</f>
        <v>0.10423933160497965</v>
      </c>
      <c r="AP12" s="47">
        <f>$AA12*'FZ-CZ'!W39</f>
        <v>0</v>
      </c>
      <c r="AQ12" s="47">
        <f>$AA12*'FZ-CZ'!X39</f>
        <v>8.1062232372996479E-2</v>
      </c>
    </row>
    <row r="13" spans="1:43">
      <c r="A13" s="29">
        <v>11</v>
      </c>
      <c r="B13" s="8">
        <f>AL51</f>
        <v>0.23932331899947071</v>
      </c>
      <c r="C13" s="8">
        <f>AL25</f>
        <v>0.70216947399700702</v>
      </c>
      <c r="D13" s="8">
        <f>AL78</f>
        <v>5.8507207003522306E-2</v>
      </c>
      <c r="E13" s="72"/>
      <c r="F13" s="52" t="e">
        <f>'HVAC System'!#REF!</f>
        <v>#REF!</v>
      </c>
      <c r="G13" s="52" t="e">
        <f>'HVAC System'!#REF!</f>
        <v>#REF!</v>
      </c>
      <c r="H13" s="52" t="e">
        <f>'HVAC System'!#REF!</f>
        <v>#REF!</v>
      </c>
      <c r="I13" s="56"/>
      <c r="J13" s="92">
        <v>1</v>
      </c>
      <c r="K13" s="92">
        <v>4</v>
      </c>
      <c r="L13" s="1"/>
      <c r="M13" s="83" t="e">
        <f t="shared" si="0"/>
        <v>#REF!</v>
      </c>
      <c r="O13" s="17" t="s">
        <v>219</v>
      </c>
      <c r="P13" s="7" t="s">
        <v>208</v>
      </c>
      <c r="Q13" s="7" t="s">
        <v>161</v>
      </c>
      <c r="R13" s="18">
        <v>0.91238163204536304</v>
      </c>
      <c r="S13" s="18">
        <v>0.45969281260800399</v>
      </c>
      <c r="T13" s="18">
        <v>0.54030718739199601</v>
      </c>
      <c r="U13" s="18">
        <v>0</v>
      </c>
      <c r="V13" s="86">
        <v>0.41941527860681393</v>
      </c>
      <c r="W13" s="86">
        <v>0.49296635343854911</v>
      </c>
      <c r="X13" s="18">
        <v>0</v>
      </c>
      <c r="Y13" s="21"/>
      <c r="Z13" s="24" t="s">
        <v>219</v>
      </c>
      <c r="AA13" s="47">
        <f t="shared" si="1"/>
        <v>0.49296635343854911</v>
      </c>
      <c r="AB13" s="47">
        <f>$AA13*'FZ-CZ'!I40</f>
        <v>0</v>
      </c>
      <c r="AC13" s="47">
        <f>$AA13*'FZ-CZ'!J40</f>
        <v>0</v>
      </c>
      <c r="AD13" s="47">
        <f>$AA13*'FZ-CZ'!K40</f>
        <v>0</v>
      </c>
      <c r="AE13" s="47">
        <f>$AA13*'FZ-CZ'!L40</f>
        <v>0</v>
      </c>
      <c r="AF13" s="47">
        <f>$AA13*'FZ-CZ'!M40</f>
        <v>0</v>
      </c>
      <c r="AG13" s="47">
        <f>$AA13*'FZ-CZ'!N40</f>
        <v>0</v>
      </c>
      <c r="AH13" s="47">
        <f>$AA13*'FZ-CZ'!O40</f>
        <v>0</v>
      </c>
      <c r="AI13" s="47">
        <f>$AA13*'FZ-CZ'!P40</f>
        <v>0</v>
      </c>
      <c r="AJ13" s="47">
        <f>$AA13*'FZ-CZ'!Q40</f>
        <v>0</v>
      </c>
      <c r="AK13" s="47">
        <f>$AA13*'FZ-CZ'!R40</f>
        <v>0.35092134621536947</v>
      </c>
      <c r="AL13" s="47">
        <f>$AA13*'FZ-CZ'!S40</f>
        <v>0</v>
      </c>
      <c r="AM13" s="47">
        <f>$AA13*'FZ-CZ'!T40</f>
        <v>0</v>
      </c>
      <c r="AN13" s="47">
        <f>$AA13*'FZ-CZ'!U40</f>
        <v>0</v>
      </c>
      <c r="AO13" s="47">
        <f>$AA13*'FZ-CZ'!V40</f>
        <v>0.11914627224403862</v>
      </c>
      <c r="AP13" s="47">
        <f>$AA13*'FZ-CZ'!W40</f>
        <v>4.7184981606329982E-4</v>
      </c>
      <c r="AQ13" s="47">
        <f>$AA13*'FZ-CZ'!X40</f>
        <v>2.2426885163077694E-2</v>
      </c>
    </row>
    <row r="14" spans="1:43">
      <c r="A14" s="29">
        <v>12</v>
      </c>
      <c r="B14" s="8">
        <f>AM51</f>
        <v>0.27025179109473668</v>
      </c>
      <c r="C14" s="8">
        <f>AM25</f>
        <v>0.70955990330243068</v>
      </c>
      <c r="D14" s="8">
        <f>AM78</f>
        <v>2.018830560283268E-2</v>
      </c>
      <c r="E14" s="72"/>
      <c r="F14" s="52" t="e">
        <f>'HVAC System'!#REF!</f>
        <v>#REF!</v>
      </c>
      <c r="G14" s="52" t="e">
        <f>'HVAC System'!#REF!</f>
        <v>#REF!</v>
      </c>
      <c r="H14" s="52" t="e">
        <f>'HVAC System'!#REF!</f>
        <v>#REF!</v>
      </c>
      <c r="I14" s="56"/>
      <c r="J14" s="92">
        <v>1</v>
      </c>
      <c r="K14" s="92">
        <v>4</v>
      </c>
      <c r="L14" s="1"/>
      <c r="M14" s="83" t="e">
        <f t="shared" si="0"/>
        <v>#REF!</v>
      </c>
      <c r="O14" s="17" t="s">
        <v>220</v>
      </c>
      <c r="P14" s="7" t="s">
        <v>208</v>
      </c>
      <c r="Q14" s="7" t="s">
        <v>161</v>
      </c>
      <c r="R14" s="18">
        <v>0.98089903927879796</v>
      </c>
      <c r="S14" s="18">
        <v>0.535142770100697</v>
      </c>
      <c r="T14" s="18">
        <v>0.45769447083251602</v>
      </c>
      <c r="U14" s="18">
        <v>7.1627590667870103E-3</v>
      </c>
      <c r="V14" s="86">
        <v>0.52492102906876836</v>
      </c>
      <c r="W14" s="86">
        <v>0.44895206672283278</v>
      </c>
      <c r="X14" s="18">
        <v>7.0259434871968781E-3</v>
      </c>
      <c r="Y14" s="21"/>
      <c r="Z14" s="24" t="s">
        <v>220</v>
      </c>
      <c r="AA14" s="47">
        <f t="shared" si="1"/>
        <v>0.44895206672283278</v>
      </c>
      <c r="AB14" s="47">
        <f>$AA14*'FZ-CZ'!I41</f>
        <v>0</v>
      </c>
      <c r="AC14" s="47">
        <f>$AA14*'FZ-CZ'!J41</f>
        <v>0</v>
      </c>
      <c r="AD14" s="47">
        <f>$AA14*'FZ-CZ'!K41</f>
        <v>0</v>
      </c>
      <c r="AE14" s="47">
        <f>$AA14*'FZ-CZ'!L41</f>
        <v>0</v>
      </c>
      <c r="AF14" s="47">
        <f>$AA14*'FZ-CZ'!M41</f>
        <v>0</v>
      </c>
      <c r="AG14" s="47">
        <f>$AA14*'FZ-CZ'!N41</f>
        <v>0</v>
      </c>
      <c r="AH14" s="47">
        <f>$AA14*'FZ-CZ'!O41</f>
        <v>0</v>
      </c>
      <c r="AI14" s="47">
        <f>$AA14*'FZ-CZ'!P41</f>
        <v>0</v>
      </c>
      <c r="AJ14" s="47">
        <f>$AA14*'FZ-CZ'!Q41</f>
        <v>0</v>
      </c>
      <c r="AK14" s="47">
        <f>$AA14*'FZ-CZ'!R41</f>
        <v>0.38659001548926997</v>
      </c>
      <c r="AL14" s="47">
        <f>$AA14*'FZ-CZ'!S41</f>
        <v>0</v>
      </c>
      <c r="AM14" s="47">
        <f>$AA14*'FZ-CZ'!T41</f>
        <v>0</v>
      </c>
      <c r="AN14" s="47">
        <f>$AA14*'FZ-CZ'!U41</f>
        <v>0</v>
      </c>
      <c r="AO14" s="47">
        <f>$AA14*'FZ-CZ'!V41</f>
        <v>1.1358421681844034E-6</v>
      </c>
      <c r="AP14" s="47">
        <f>$AA14*'FZ-CZ'!W41</f>
        <v>5.9867060326928997E-2</v>
      </c>
      <c r="AQ14" s="47">
        <f>$AA14*'FZ-CZ'!X41</f>
        <v>2.4938550644656764E-3</v>
      </c>
    </row>
    <row r="15" spans="1:43">
      <c r="A15" s="29">
        <v>13</v>
      </c>
      <c r="B15" s="8">
        <f>AN51</f>
        <v>0.13821722459724894</v>
      </c>
      <c r="C15" s="8">
        <f>AN25</f>
        <v>0.84516911983137077</v>
      </c>
      <c r="D15" s="8">
        <f>AN78</f>
        <v>1.6613655571380233E-2</v>
      </c>
      <c r="E15" s="72"/>
      <c r="F15" s="52" t="e">
        <f>'HVAC System'!#REF!</f>
        <v>#REF!</v>
      </c>
      <c r="G15" s="52" t="e">
        <f>'HVAC System'!#REF!</f>
        <v>#REF!</v>
      </c>
      <c r="H15" s="52" t="e">
        <f>'HVAC System'!#REF!</f>
        <v>#REF!</v>
      </c>
      <c r="I15" s="56"/>
      <c r="J15" s="92">
        <v>1</v>
      </c>
      <c r="K15" s="92">
        <v>4</v>
      </c>
      <c r="L15" s="1"/>
      <c r="M15" s="83" t="e">
        <f t="shared" si="0"/>
        <v>#REF!</v>
      </c>
      <c r="O15" s="17" t="s">
        <v>221</v>
      </c>
      <c r="P15" s="7" t="s">
        <v>208</v>
      </c>
      <c r="Q15" s="7" t="s">
        <v>161</v>
      </c>
      <c r="R15" s="18">
        <v>0.90055976309347696</v>
      </c>
      <c r="S15" s="18">
        <v>0.57985696419694299</v>
      </c>
      <c r="T15" s="18">
        <v>0.41763915397062901</v>
      </c>
      <c r="U15" s="18">
        <v>2.50388183242737E-3</v>
      </c>
      <c r="V15" s="86">
        <v>0.52219585030530169</v>
      </c>
      <c r="W15" s="86">
        <v>0.3761090175583498</v>
      </c>
      <c r="X15" s="18">
        <v>2.2548952298248534E-3</v>
      </c>
      <c r="Y15" s="21"/>
      <c r="Z15" s="24" t="s">
        <v>222</v>
      </c>
      <c r="AA15" s="47">
        <f>(W15+W16)/2</f>
        <v>0.44192117448773427</v>
      </c>
      <c r="AB15" s="47">
        <f>$AA15*'FZ-CZ'!I42</f>
        <v>0</v>
      </c>
      <c r="AC15" s="47">
        <f>$AA15*'FZ-CZ'!J42</f>
        <v>0</v>
      </c>
      <c r="AD15" s="47">
        <f>$AA15*'FZ-CZ'!K42</f>
        <v>0</v>
      </c>
      <c r="AE15" s="47">
        <f>$AA15*'FZ-CZ'!L42</f>
        <v>0</v>
      </c>
      <c r="AF15" s="47">
        <f>$AA15*'FZ-CZ'!M42</f>
        <v>0</v>
      </c>
      <c r="AG15" s="47">
        <f>$AA15*'FZ-CZ'!N42</f>
        <v>2.9146994415361983E-2</v>
      </c>
      <c r="AH15" s="47">
        <f>$AA15*'FZ-CZ'!O42</f>
        <v>0.27756072618782546</v>
      </c>
      <c r="AI15" s="47">
        <f>$AA15*'FZ-CZ'!P42</f>
        <v>8.5647448928795784E-3</v>
      </c>
      <c r="AJ15" s="47">
        <f>$AA15*'FZ-CZ'!Q42</f>
        <v>0</v>
      </c>
      <c r="AK15" s="47">
        <f>$AA15*'FZ-CZ'!R42</f>
        <v>0.12320799254792923</v>
      </c>
      <c r="AL15" s="47">
        <f>$AA15*'FZ-CZ'!S42</f>
        <v>0</v>
      </c>
      <c r="AM15" s="47">
        <f>$AA15*'FZ-CZ'!T42</f>
        <v>0</v>
      </c>
      <c r="AN15" s="47">
        <f>$AA15*'FZ-CZ'!U42</f>
        <v>0</v>
      </c>
      <c r="AO15" s="47">
        <f>$AA15*'FZ-CZ'!V42</f>
        <v>2.9266511007704577E-3</v>
      </c>
      <c r="AP15" s="47">
        <f>$AA15*'FZ-CZ'!W42</f>
        <v>5.140653429675533E-4</v>
      </c>
      <c r="AQ15" s="47">
        <f>$AA15*'FZ-CZ'!X42</f>
        <v>0</v>
      </c>
    </row>
    <row r="16" spans="1:43">
      <c r="A16" s="29">
        <v>14</v>
      </c>
      <c r="B16" s="66">
        <f>AO51</f>
        <v>0.36370721434457981</v>
      </c>
      <c r="C16" s="66">
        <f>AO25</f>
        <v>0.62754849244676114</v>
      </c>
      <c r="D16" s="8">
        <f>AO78</f>
        <v>8.744293208659196E-3</v>
      </c>
      <c r="E16" s="72"/>
      <c r="F16" s="84" t="e">
        <f>'HVAC System'!#REF!</f>
        <v>#REF!</v>
      </c>
      <c r="G16" s="84" t="e">
        <f>'HVAC System'!#REF!</f>
        <v>#REF!</v>
      </c>
      <c r="H16" s="52" t="e">
        <f>'HVAC System'!#REF!</f>
        <v>#REF!</v>
      </c>
      <c r="I16" s="56"/>
      <c r="J16" s="92">
        <v>3</v>
      </c>
      <c r="K16" s="92">
        <v>2</v>
      </c>
      <c r="L16" s="1"/>
      <c r="M16" s="83" t="e">
        <f t="shared" si="0"/>
        <v>#REF!</v>
      </c>
      <c r="O16" s="17" t="s">
        <v>223</v>
      </c>
      <c r="P16" s="7" t="s">
        <v>208</v>
      </c>
      <c r="Q16" s="7" t="s">
        <v>161</v>
      </c>
      <c r="R16" s="18">
        <v>0.87840233062968898</v>
      </c>
      <c r="S16" s="18">
        <v>0.420592802012414</v>
      </c>
      <c r="T16" s="18">
        <v>0.57801910777393595</v>
      </c>
      <c r="U16" s="18">
        <v>1.38809021364916E-3</v>
      </c>
      <c r="V16" s="86">
        <v>0.36944969753377582</v>
      </c>
      <c r="W16" s="86">
        <v>0.50773333141711874</v>
      </c>
      <c r="X16" s="18">
        <v>1.219301678793685E-3</v>
      </c>
      <c r="Y16" s="21"/>
      <c r="Z16" s="24" t="s">
        <v>224</v>
      </c>
      <c r="AA16" s="47">
        <f>W17</f>
        <v>0.53370716424748876</v>
      </c>
      <c r="AB16" s="47">
        <f>$AA16*'FZ-CZ'!I43</f>
        <v>0</v>
      </c>
      <c r="AC16" s="47">
        <f>$AA16*'FZ-CZ'!J43</f>
        <v>0</v>
      </c>
      <c r="AD16" s="47">
        <f>$AA16*'FZ-CZ'!K43</f>
        <v>0</v>
      </c>
      <c r="AE16" s="47">
        <f>$AA16*'FZ-CZ'!L43</f>
        <v>0</v>
      </c>
      <c r="AF16" s="47">
        <f>$AA16*'FZ-CZ'!M43</f>
        <v>0</v>
      </c>
      <c r="AG16" s="47">
        <f>$AA16*'FZ-CZ'!N43</f>
        <v>0</v>
      </c>
      <c r="AH16" s="47">
        <f>$AA16*'FZ-CZ'!O43</f>
        <v>0</v>
      </c>
      <c r="AI16" s="47">
        <f>$AA16*'FZ-CZ'!P43</f>
        <v>0</v>
      </c>
      <c r="AJ16" s="47">
        <f>$AA16*'FZ-CZ'!Q43</f>
        <v>0</v>
      </c>
      <c r="AK16" s="47">
        <f>$AA16*'FZ-CZ'!R43</f>
        <v>0</v>
      </c>
      <c r="AL16" s="47">
        <f>$AA16*'FZ-CZ'!S43</f>
        <v>2.2463856383712478E-3</v>
      </c>
      <c r="AM16" s="47">
        <f>$AA16*'FZ-CZ'!T43</f>
        <v>0.53146077860911756</v>
      </c>
      <c r="AN16" s="47">
        <f>$AA16*'FZ-CZ'!U43</f>
        <v>0</v>
      </c>
      <c r="AO16" s="47">
        <f>$AA16*'FZ-CZ'!V43</f>
        <v>0</v>
      </c>
      <c r="AP16" s="47">
        <f>$AA16*'FZ-CZ'!W43</f>
        <v>0</v>
      </c>
      <c r="AQ16" s="47">
        <f>$AA16*'FZ-CZ'!X43</f>
        <v>0</v>
      </c>
    </row>
    <row r="17" spans="1:43">
      <c r="A17" s="29">
        <v>15</v>
      </c>
      <c r="B17" s="8">
        <f>AP51</f>
        <v>0.52657563173633404</v>
      </c>
      <c r="C17" s="8">
        <f>AP25</f>
        <v>0.4663041300009691</v>
      </c>
      <c r="D17" s="8">
        <f>AP78</f>
        <v>7.1202382626967941E-3</v>
      </c>
      <c r="E17" s="72"/>
      <c r="F17" s="52" t="e">
        <f>'HVAC System'!#REF!</f>
        <v>#REF!</v>
      </c>
      <c r="G17" s="52" t="e">
        <f>'HVAC System'!#REF!</f>
        <v>#REF!</v>
      </c>
      <c r="H17" s="52" t="e">
        <f>'HVAC System'!#REF!</f>
        <v>#REF!</v>
      </c>
      <c r="I17" s="56"/>
      <c r="J17" s="92">
        <v>3</v>
      </c>
      <c r="K17" s="92">
        <v>2</v>
      </c>
      <c r="L17" s="1"/>
      <c r="M17" s="83" t="e">
        <f t="shared" si="0"/>
        <v>#REF!</v>
      </c>
      <c r="O17" s="17" t="s">
        <v>224</v>
      </c>
      <c r="P17" s="7" t="s">
        <v>208</v>
      </c>
      <c r="Q17" s="7" t="s">
        <v>161</v>
      </c>
      <c r="R17" s="18">
        <v>0.86848685189464703</v>
      </c>
      <c r="S17" s="18">
        <v>0.38547467577294903</v>
      </c>
      <c r="T17" s="18">
        <v>0.61452532422705097</v>
      </c>
      <c r="U17" s="18">
        <v>0</v>
      </c>
      <c r="V17" s="86">
        <v>0.33477968764715826</v>
      </c>
      <c r="W17" s="86">
        <v>0.53370716424748876</v>
      </c>
      <c r="X17" s="18">
        <v>0</v>
      </c>
      <c r="Y17" s="21"/>
      <c r="Z17" s="24" t="s">
        <v>225</v>
      </c>
      <c r="AA17" s="47">
        <f>W8</f>
        <v>0.72768161312071966</v>
      </c>
      <c r="AB17" s="47">
        <f>$AA17*'FZ-CZ'!I44</f>
        <v>0</v>
      </c>
      <c r="AC17" s="47">
        <f>$AA17*'FZ-CZ'!J44</f>
        <v>0</v>
      </c>
      <c r="AD17" s="47">
        <f>$AA17*'FZ-CZ'!K44</f>
        <v>0</v>
      </c>
      <c r="AE17" s="47">
        <f>$AA17*'FZ-CZ'!L44</f>
        <v>0</v>
      </c>
      <c r="AF17" s="47">
        <f>$AA17*'FZ-CZ'!M44</f>
        <v>0</v>
      </c>
      <c r="AG17" s="47">
        <f>$AA17*'FZ-CZ'!N44</f>
        <v>0</v>
      </c>
      <c r="AH17" s="47">
        <f>$AA17*'FZ-CZ'!O44</f>
        <v>0</v>
      </c>
      <c r="AI17" s="47">
        <f>$AA17*'FZ-CZ'!P44</f>
        <v>0</v>
      </c>
      <c r="AJ17" s="47">
        <f>$AA17*'FZ-CZ'!Q44</f>
        <v>0</v>
      </c>
      <c r="AK17" s="47">
        <f>$AA17*'FZ-CZ'!R44</f>
        <v>0</v>
      </c>
      <c r="AL17" s="47">
        <f>$AA17*'FZ-CZ'!S44</f>
        <v>0</v>
      </c>
      <c r="AM17" s="47">
        <f>$AA17*'FZ-CZ'!T44</f>
        <v>0.72768161312071966</v>
      </c>
      <c r="AN17" s="47">
        <f>$AA17*'FZ-CZ'!U44</f>
        <v>0</v>
      </c>
      <c r="AO17" s="47">
        <f>$AA17*'FZ-CZ'!V44</f>
        <v>0</v>
      </c>
      <c r="AP17" s="47">
        <f>$AA17*'FZ-CZ'!W44</f>
        <v>0</v>
      </c>
      <c r="AQ17" s="47">
        <f>$AA17*'FZ-CZ'!X44</f>
        <v>0</v>
      </c>
    </row>
    <row r="18" spans="1:43">
      <c r="A18" s="29">
        <v>16</v>
      </c>
      <c r="B18" s="8">
        <f>AQ51</f>
        <v>0.32942604912516604</v>
      </c>
      <c r="C18" s="8">
        <f>AQ25</f>
        <v>0.6607252796919818</v>
      </c>
      <c r="D18" s="8">
        <f>AQ78</f>
        <v>9.8486711828521881E-3</v>
      </c>
      <c r="E18" s="72"/>
      <c r="F18" s="52" t="e">
        <f>'HVAC System'!#REF!</f>
        <v>#REF!</v>
      </c>
      <c r="G18" s="52" t="e">
        <f>'HVAC System'!#REF!</f>
        <v>#REF!</v>
      </c>
      <c r="H18" s="52" t="e">
        <f>'HVAC System'!#REF!</f>
        <v>#REF!</v>
      </c>
      <c r="I18" s="56"/>
      <c r="J18" s="92">
        <v>1</v>
      </c>
      <c r="K18" s="92">
        <v>4</v>
      </c>
      <c r="L18" s="1"/>
      <c r="M18" s="83" t="e">
        <f t="shared" si="0"/>
        <v>#REF!</v>
      </c>
      <c r="O18" s="17" t="s">
        <v>226</v>
      </c>
      <c r="P18" s="7" t="s">
        <v>208</v>
      </c>
      <c r="Q18" s="7" t="s">
        <v>161</v>
      </c>
      <c r="R18" s="18">
        <v>0.73640494632961395</v>
      </c>
      <c r="S18" s="18">
        <v>0.48204749105772099</v>
      </c>
      <c r="T18" s="18">
        <v>0.51795250894227896</v>
      </c>
      <c r="U18" s="18">
        <v>0</v>
      </c>
      <c r="V18" s="86">
        <v>0.35498215678068606</v>
      </c>
      <c r="W18" s="86">
        <v>0.38142278954892783</v>
      </c>
      <c r="X18" s="18">
        <v>0</v>
      </c>
      <c r="Y18" s="21"/>
      <c r="Z18" s="24" t="s">
        <v>227</v>
      </c>
      <c r="AA18" s="47">
        <f>W8</f>
        <v>0.72768161312071966</v>
      </c>
      <c r="AB18" s="47">
        <f>$AA18*'FZ-CZ'!I45</f>
        <v>0</v>
      </c>
      <c r="AC18" s="47">
        <f>$AA18*'FZ-CZ'!J45</f>
        <v>1.4109407763886008E-3</v>
      </c>
      <c r="AD18" s="47">
        <f>$AA18*'FZ-CZ'!K45</f>
        <v>0</v>
      </c>
      <c r="AE18" s="47">
        <f>$AA18*'FZ-CZ'!L45</f>
        <v>0</v>
      </c>
      <c r="AF18" s="47">
        <f>$AA18*'FZ-CZ'!M45</f>
        <v>0</v>
      </c>
      <c r="AG18" s="47">
        <f>$AA18*'FZ-CZ'!N45</f>
        <v>0</v>
      </c>
      <c r="AH18" s="47">
        <f>$AA18*'FZ-CZ'!O45</f>
        <v>0</v>
      </c>
      <c r="AI18" s="47">
        <f>$AA18*'FZ-CZ'!P45</f>
        <v>0</v>
      </c>
      <c r="AJ18" s="47">
        <f>$AA18*'FZ-CZ'!Q45</f>
        <v>0</v>
      </c>
      <c r="AK18" s="47">
        <f>$AA18*'FZ-CZ'!R45</f>
        <v>0</v>
      </c>
      <c r="AL18" s="47">
        <f>$AA18*'FZ-CZ'!S45</f>
        <v>0.32414959312645952</v>
      </c>
      <c r="AM18" s="47">
        <f>$AA18*'FZ-CZ'!T45</f>
        <v>0.38314436946751285</v>
      </c>
      <c r="AN18" s="47">
        <f>$AA18*'FZ-CZ'!U45</f>
        <v>0</v>
      </c>
      <c r="AO18" s="47">
        <f>$AA18*'FZ-CZ'!V45</f>
        <v>0</v>
      </c>
      <c r="AP18" s="47">
        <f>$AA18*'FZ-CZ'!W45</f>
        <v>0</v>
      </c>
      <c r="AQ18" s="47">
        <f>$AA18*'FZ-CZ'!X45</f>
        <v>1.8976709750358634E-2</v>
      </c>
    </row>
    <row r="19" spans="1:43">
      <c r="O19" s="17" t="s">
        <v>228</v>
      </c>
      <c r="P19" s="7" t="s">
        <v>208</v>
      </c>
      <c r="Q19" s="7" t="s">
        <v>161</v>
      </c>
      <c r="R19" s="18">
        <v>0.90563925890418395</v>
      </c>
      <c r="S19" s="18">
        <v>0.35215232552270398</v>
      </c>
      <c r="T19" s="18">
        <v>0.64784767447729597</v>
      </c>
      <c r="U19" s="18">
        <v>0</v>
      </c>
      <c r="V19" s="18">
        <v>0.31892297110776657</v>
      </c>
      <c r="W19" s="18">
        <v>0.58671628779641738</v>
      </c>
      <c r="X19" s="18">
        <v>0</v>
      </c>
      <c r="Y19" s="21"/>
      <c r="Z19" s="24" t="s">
        <v>226</v>
      </c>
      <c r="AA19" s="47">
        <f>W18</f>
        <v>0.38142278954892783</v>
      </c>
      <c r="AB19" s="47">
        <f>$AA19*'FZ-CZ'!I46</f>
        <v>0</v>
      </c>
      <c r="AC19" s="47">
        <f>$AA19*'FZ-CZ'!J46</f>
        <v>0</v>
      </c>
      <c r="AD19" s="47">
        <f>$AA19*'FZ-CZ'!K46</f>
        <v>0</v>
      </c>
      <c r="AE19" s="47">
        <f>$AA19*'FZ-CZ'!L46</f>
        <v>0</v>
      </c>
      <c r="AF19" s="47">
        <f>$AA19*'FZ-CZ'!M46</f>
        <v>0</v>
      </c>
      <c r="AG19" s="47">
        <f>$AA19*'FZ-CZ'!N46</f>
        <v>6.5526534305071688E-2</v>
      </c>
      <c r="AH19" s="47">
        <f>$AA19*'FZ-CZ'!O46</f>
        <v>0</v>
      </c>
      <c r="AI19" s="47">
        <f>$AA19*'FZ-CZ'!P46</f>
        <v>0.10642262818784845</v>
      </c>
      <c r="AJ19" s="47">
        <f>$AA19*'FZ-CZ'!Q46</f>
        <v>0.20947362705600769</v>
      </c>
      <c r="AK19" s="47">
        <f>$AA19*'FZ-CZ'!R46</f>
        <v>0</v>
      </c>
      <c r="AL19" s="47">
        <f>$AA19*'FZ-CZ'!S46</f>
        <v>0</v>
      </c>
      <c r="AM19" s="47">
        <f>$AA19*'FZ-CZ'!T46</f>
        <v>0</v>
      </c>
      <c r="AN19" s="47">
        <f>$AA19*'FZ-CZ'!U46</f>
        <v>0</v>
      </c>
      <c r="AO19" s="47">
        <f>$AA19*'FZ-CZ'!V46</f>
        <v>0</v>
      </c>
      <c r="AP19" s="47">
        <f>$AA19*'FZ-CZ'!W46</f>
        <v>0</v>
      </c>
      <c r="AQ19" s="47">
        <f>$AA19*'FZ-CZ'!X46</f>
        <v>0</v>
      </c>
    </row>
    <row r="20" spans="1:43">
      <c r="Z20" s="24" t="s">
        <v>228</v>
      </c>
      <c r="AA20" s="47">
        <f>W19</f>
        <v>0.58671628779641738</v>
      </c>
      <c r="AB20" s="47">
        <f>$AA20*'FZ-CZ'!I47</f>
        <v>0</v>
      </c>
      <c r="AC20" s="47">
        <f>$AA20*'FZ-CZ'!J47</f>
        <v>0</v>
      </c>
      <c r="AD20" s="47">
        <f>$AA20*'FZ-CZ'!K47</f>
        <v>0</v>
      </c>
      <c r="AE20" s="47">
        <f>$AA20*'FZ-CZ'!L47</f>
        <v>0</v>
      </c>
      <c r="AF20" s="47">
        <f>$AA20*'FZ-CZ'!M47</f>
        <v>0</v>
      </c>
      <c r="AG20" s="47">
        <f>$AA20*'FZ-CZ'!N47</f>
        <v>0</v>
      </c>
      <c r="AH20" s="47">
        <f>$AA20*'FZ-CZ'!O47</f>
        <v>0</v>
      </c>
      <c r="AI20" s="47">
        <f>$AA20*'FZ-CZ'!P47</f>
        <v>0</v>
      </c>
      <c r="AJ20" s="47">
        <f>$AA20*'FZ-CZ'!Q47</f>
        <v>0.58292662942063367</v>
      </c>
      <c r="AK20" s="47">
        <f>$AA20*'FZ-CZ'!R47</f>
        <v>0</v>
      </c>
      <c r="AL20" s="47">
        <f>$AA20*'FZ-CZ'!S47</f>
        <v>0</v>
      </c>
      <c r="AM20" s="47">
        <f>$AA20*'FZ-CZ'!T47</f>
        <v>0</v>
      </c>
      <c r="AN20" s="47">
        <f>$AA20*'FZ-CZ'!U47</f>
        <v>0</v>
      </c>
      <c r="AO20" s="47">
        <f>$AA20*'FZ-CZ'!V47</f>
        <v>0</v>
      </c>
      <c r="AP20" s="47">
        <f>$AA20*'FZ-CZ'!W47</f>
        <v>0</v>
      </c>
      <c r="AQ20" s="47">
        <f>$AA20*'FZ-CZ'!X47</f>
        <v>3.7896583757836598E-3</v>
      </c>
    </row>
    <row r="21" spans="1:43">
      <c r="Z21" s="24" t="s">
        <v>229</v>
      </c>
      <c r="AA21" s="47">
        <f>W19</f>
        <v>0.58671628779641738</v>
      </c>
      <c r="AB21" s="47">
        <f>$AA21*'FZ-CZ'!I48</f>
        <v>0</v>
      </c>
      <c r="AC21" s="47">
        <f>$AA21*'FZ-CZ'!J48</f>
        <v>0</v>
      </c>
      <c r="AD21" s="47">
        <f>$AA21*'FZ-CZ'!K48</f>
        <v>0</v>
      </c>
      <c r="AE21" s="47">
        <f>$AA21*'FZ-CZ'!L48</f>
        <v>0</v>
      </c>
      <c r="AF21" s="47">
        <f>$AA21*'FZ-CZ'!M48</f>
        <v>0</v>
      </c>
      <c r="AG21" s="47">
        <f>$AA21*'FZ-CZ'!N48</f>
        <v>0</v>
      </c>
      <c r="AH21" s="47">
        <f>$AA21*'FZ-CZ'!O48</f>
        <v>0</v>
      </c>
      <c r="AI21" s="47">
        <f>$AA21*'FZ-CZ'!P48</f>
        <v>0</v>
      </c>
      <c r="AJ21" s="47">
        <f>$AA21*'FZ-CZ'!Q48</f>
        <v>0.58671628779641738</v>
      </c>
      <c r="AK21" s="47">
        <f>$AA21*'FZ-CZ'!R48</f>
        <v>0</v>
      </c>
      <c r="AL21" s="47">
        <f>$AA21*'FZ-CZ'!S48</f>
        <v>0</v>
      </c>
      <c r="AM21" s="47">
        <f>$AA21*'FZ-CZ'!T48</f>
        <v>0</v>
      </c>
      <c r="AN21" s="47">
        <f>$AA21*'FZ-CZ'!U48</f>
        <v>0</v>
      </c>
      <c r="AO21" s="47">
        <f>$AA21*'FZ-CZ'!V48</f>
        <v>0</v>
      </c>
      <c r="AP21" s="47">
        <f>$AA21*'FZ-CZ'!W48</f>
        <v>0</v>
      </c>
      <c r="AQ21" s="47">
        <f>$AA21*'FZ-CZ'!X48</f>
        <v>0</v>
      </c>
    </row>
    <row r="22" spans="1:43">
      <c r="Z22" s="24" t="s">
        <v>230</v>
      </c>
      <c r="AA22" s="59">
        <f>W14</f>
        <v>0.44895206672283278</v>
      </c>
      <c r="AB22" s="47">
        <f>$AA22*'FZ-CZ'!I49</f>
        <v>0</v>
      </c>
      <c r="AC22" s="47">
        <f>$AA22*'FZ-CZ'!J49</f>
        <v>0</v>
      </c>
      <c r="AD22" s="47">
        <f>$AA22*'FZ-CZ'!K49</f>
        <v>0</v>
      </c>
      <c r="AE22" s="47">
        <f>$AA22*'FZ-CZ'!L49</f>
        <v>0</v>
      </c>
      <c r="AF22" s="47">
        <f>$AA22*'FZ-CZ'!M49</f>
        <v>0</v>
      </c>
      <c r="AG22" s="47">
        <f>$AA22*'FZ-CZ'!N49</f>
        <v>0</v>
      </c>
      <c r="AH22" s="47">
        <f>$AA22*'FZ-CZ'!O49</f>
        <v>0</v>
      </c>
      <c r="AI22" s="47">
        <f>$AA22*'FZ-CZ'!P49</f>
        <v>0</v>
      </c>
      <c r="AJ22" s="47">
        <f>$AA22*'FZ-CZ'!Q49</f>
        <v>0</v>
      </c>
      <c r="AK22" s="47">
        <f>$AA22*'FZ-CZ'!R49</f>
        <v>0</v>
      </c>
      <c r="AL22" s="47">
        <f>$AA22*'FZ-CZ'!S49</f>
        <v>0</v>
      </c>
      <c r="AM22" s="47">
        <f>$AA22*'FZ-CZ'!T49</f>
        <v>0</v>
      </c>
      <c r="AN22" s="47">
        <f>$AA22*'FZ-CZ'!U49</f>
        <v>0</v>
      </c>
      <c r="AO22" s="47">
        <f>$AA22*'FZ-CZ'!V49</f>
        <v>1.0873675113292541E-4</v>
      </c>
      <c r="AP22" s="47">
        <f>$AA22*'FZ-CZ'!W49</f>
        <v>0.44884332997169984</v>
      </c>
      <c r="AQ22" s="47">
        <f>$AA22*'FZ-CZ'!X49</f>
        <v>0</v>
      </c>
    </row>
    <row r="23" spans="1:43">
      <c r="Z23" s="60" t="s">
        <v>231</v>
      </c>
      <c r="AA23" s="61">
        <f>W13</f>
        <v>0.49296635343854911</v>
      </c>
      <c r="AB23" s="47">
        <f>$AA23*'FZ-CZ'!I50</f>
        <v>0</v>
      </c>
      <c r="AC23" s="47">
        <f>$AA23*'FZ-CZ'!J50</f>
        <v>0</v>
      </c>
      <c r="AD23" s="47">
        <f>$AA23*'FZ-CZ'!K50</f>
        <v>0</v>
      </c>
      <c r="AE23" s="47">
        <f>$AA23*'FZ-CZ'!L50</f>
        <v>0</v>
      </c>
      <c r="AF23" s="47">
        <f>$AA23*'FZ-CZ'!M50</f>
        <v>0</v>
      </c>
      <c r="AG23" s="47">
        <f>$AA23*'FZ-CZ'!N50</f>
        <v>0</v>
      </c>
      <c r="AH23" s="47">
        <f>$AA23*'FZ-CZ'!O50</f>
        <v>0</v>
      </c>
      <c r="AI23" s="47">
        <f>$AA23*'FZ-CZ'!P50</f>
        <v>0</v>
      </c>
      <c r="AJ23" s="47">
        <f>$AA23*'FZ-CZ'!Q50</f>
        <v>0</v>
      </c>
      <c r="AK23" s="47">
        <f>$AA23*'FZ-CZ'!R50</f>
        <v>0</v>
      </c>
      <c r="AL23" s="47">
        <f>$AA23*'FZ-CZ'!S50</f>
        <v>0</v>
      </c>
      <c r="AM23" s="47">
        <f>$AA23*'FZ-CZ'!T50</f>
        <v>0</v>
      </c>
      <c r="AN23" s="47">
        <f>$AA23*'FZ-CZ'!U50</f>
        <v>0</v>
      </c>
      <c r="AO23" s="47">
        <f>$AA23*'FZ-CZ'!V50</f>
        <v>0</v>
      </c>
      <c r="AP23" s="47">
        <f>$AA23*'FZ-CZ'!W50</f>
        <v>0</v>
      </c>
      <c r="AQ23" s="47">
        <f>$AA23*'FZ-CZ'!X50</f>
        <v>0.49296635343854911</v>
      </c>
    </row>
    <row r="24" spans="1:43">
      <c r="Z24" s="24" t="s">
        <v>232</v>
      </c>
      <c r="AA24" s="97"/>
      <c r="AB24" s="137">
        <f>SUM(AB3:AB23)</f>
        <v>0.22508422462817934</v>
      </c>
      <c r="AC24" s="137">
        <f t="shared" ref="AC24:AQ24" si="2">SUM(AC3:AC23)</f>
        <v>0.56431935646015663</v>
      </c>
      <c r="AD24" s="137">
        <f t="shared" si="2"/>
        <v>0.75311584678881616</v>
      </c>
      <c r="AE24" s="137">
        <f t="shared" si="2"/>
        <v>0.29571573695533748</v>
      </c>
      <c r="AF24" s="137">
        <f t="shared" si="2"/>
        <v>0.22347683967583815</v>
      </c>
      <c r="AG24" s="137">
        <f t="shared" si="2"/>
        <v>0.41730965069327097</v>
      </c>
      <c r="AH24" s="137">
        <f t="shared" si="2"/>
        <v>0.27756072618782546</v>
      </c>
      <c r="AI24" s="137">
        <f t="shared" si="2"/>
        <v>0.256778491537764</v>
      </c>
      <c r="AJ24" s="137">
        <f t="shared" si="2"/>
        <v>1.6423640337034693</v>
      </c>
      <c r="AK24" s="137">
        <f t="shared" si="2"/>
        <v>0.86071935425256862</v>
      </c>
      <c r="AL24" s="137">
        <f t="shared" si="2"/>
        <v>0.96714348154673913</v>
      </c>
      <c r="AM24" s="137">
        <f t="shared" si="2"/>
        <v>2.2160090841618518</v>
      </c>
      <c r="AN24" s="137">
        <f t="shared" si="2"/>
        <v>1.3659303430059242</v>
      </c>
      <c r="AO24" s="137">
        <f t="shared" si="2"/>
        <v>0.24095653202414166</v>
      </c>
      <c r="AP24" s="137">
        <f t="shared" si="2"/>
        <v>0.53285346096574626</v>
      </c>
      <c r="AQ24" s="137">
        <f t="shared" si="2"/>
        <v>1.3056287765683339</v>
      </c>
    </row>
    <row r="25" spans="1:43">
      <c r="AB25" s="137">
        <f>AB24/(AB50+AB24+AB77)</f>
        <v>0.79946567280119618</v>
      </c>
      <c r="AC25" s="137">
        <f t="shared" ref="AC25:AQ25" si="3">AC24/(AC50+AC24+AC77)</f>
        <v>0.81406874065132717</v>
      </c>
      <c r="AD25" s="137">
        <f t="shared" si="3"/>
        <v>0.71741247932531427</v>
      </c>
      <c r="AE25" s="137">
        <f t="shared" si="3"/>
        <v>0.70401752155499331</v>
      </c>
      <c r="AF25" s="137">
        <f t="shared" si="3"/>
        <v>0.74175930496762188</v>
      </c>
      <c r="AG25" s="137">
        <f t="shared" si="3"/>
        <v>0.44607772463966916</v>
      </c>
      <c r="AH25" s="137">
        <f t="shared" si="3"/>
        <v>0.49683034399327042</v>
      </c>
      <c r="AI25" s="137">
        <f t="shared" si="3"/>
        <v>0.40021386522079</v>
      </c>
      <c r="AJ25" s="137">
        <f t="shared" si="3"/>
        <v>0.57339592544855944</v>
      </c>
      <c r="AK25" s="137">
        <f t="shared" si="3"/>
        <v>0.49406450337237073</v>
      </c>
      <c r="AL25" s="137">
        <f t="shared" si="3"/>
        <v>0.70216947399700702</v>
      </c>
      <c r="AM25" s="137">
        <f t="shared" si="3"/>
        <v>0.70955990330243068</v>
      </c>
      <c r="AN25" s="137">
        <f t="shared" si="3"/>
        <v>0.84516911983137077</v>
      </c>
      <c r="AO25" s="137">
        <f t="shared" si="3"/>
        <v>0.62754849244676114</v>
      </c>
      <c r="AP25" s="137">
        <f t="shared" si="3"/>
        <v>0.4663041300009691</v>
      </c>
      <c r="AQ25" s="137">
        <f t="shared" si="3"/>
        <v>0.6607252796919818</v>
      </c>
    </row>
    <row r="26" spans="1:43">
      <c r="AB26" s="137"/>
      <c r="AC26" s="137"/>
      <c r="AD26" s="137"/>
      <c r="AE26" s="137"/>
      <c r="AF26" s="137"/>
      <c r="AG26" s="137"/>
      <c r="AH26" s="137"/>
      <c r="AI26" s="137"/>
      <c r="AJ26" s="137"/>
      <c r="AK26" s="137"/>
      <c r="AL26" s="137"/>
      <c r="AM26" s="137"/>
      <c r="AN26" s="137"/>
      <c r="AO26" s="137"/>
      <c r="AP26" s="137"/>
      <c r="AQ26" s="137"/>
    </row>
    <row r="28" spans="1:43" ht="32.1">
      <c r="Z28" s="45"/>
      <c r="AA28" s="5" t="s">
        <v>204</v>
      </c>
      <c r="AB28" s="30">
        <v>1</v>
      </c>
      <c r="AC28" s="34">
        <v>2</v>
      </c>
      <c r="AD28" s="34">
        <v>3</v>
      </c>
      <c r="AE28" s="34">
        <v>4</v>
      </c>
      <c r="AF28" s="34">
        <v>5</v>
      </c>
      <c r="AG28" s="34">
        <v>6</v>
      </c>
      <c r="AH28" s="34">
        <v>7</v>
      </c>
      <c r="AI28" s="34">
        <v>8</v>
      </c>
      <c r="AJ28" s="34">
        <v>9</v>
      </c>
      <c r="AK28" s="34">
        <v>10</v>
      </c>
      <c r="AL28" s="34">
        <v>11</v>
      </c>
      <c r="AM28" s="34">
        <v>12</v>
      </c>
      <c r="AN28" s="34">
        <v>13</v>
      </c>
      <c r="AO28" s="34">
        <v>14</v>
      </c>
      <c r="AP28" s="34">
        <v>15</v>
      </c>
      <c r="AQ28" s="38">
        <v>16</v>
      </c>
    </row>
    <row r="29" spans="1:43" ht="17.25" customHeight="1">
      <c r="Z29" t="s">
        <v>209</v>
      </c>
      <c r="AA29" s="47">
        <f>AA44</f>
        <v>0.18902425594194774</v>
      </c>
      <c r="AB29" s="137">
        <f>$AA29*'FZ-CZ'!I30</f>
        <v>3.3833464698585662E-2</v>
      </c>
      <c r="AC29" s="137">
        <f>$AA29*'FZ-CZ'!J30</f>
        <v>0</v>
      </c>
      <c r="AD29" s="137">
        <f>$AA29*'FZ-CZ'!K30</f>
        <v>0</v>
      </c>
      <c r="AE29" s="137">
        <f>$AA29*'FZ-CZ'!L30</f>
        <v>0</v>
      </c>
      <c r="AF29" s="137">
        <f>$AA29*'FZ-CZ'!M30</f>
        <v>0</v>
      </c>
      <c r="AG29" s="137">
        <f>$AA29*'FZ-CZ'!N30</f>
        <v>0</v>
      </c>
      <c r="AH29" s="137">
        <f>$AA29*'FZ-CZ'!O30</f>
        <v>0</v>
      </c>
      <c r="AI29" s="137">
        <f>$AA29*'FZ-CZ'!P30</f>
        <v>0</v>
      </c>
      <c r="AJ29" s="137">
        <f>$AA29*'FZ-CZ'!Q30</f>
        <v>0</v>
      </c>
      <c r="AK29" s="137">
        <f>$AA29*'FZ-CZ'!R30</f>
        <v>0</v>
      </c>
      <c r="AL29" s="137">
        <f>$AA29*'FZ-CZ'!S30</f>
        <v>7.9746716662728646E-4</v>
      </c>
      <c r="AM29" s="137">
        <f>$AA29*'FZ-CZ'!T30</f>
        <v>0</v>
      </c>
      <c r="AN29" s="137">
        <f>$AA29*'FZ-CZ'!U30</f>
        <v>0</v>
      </c>
      <c r="AO29" s="137">
        <f>$AA29*'FZ-CZ'!V30</f>
        <v>2.4537451280839585E-6</v>
      </c>
      <c r="AP29" s="137">
        <f>$AA29*'FZ-CZ'!W30</f>
        <v>6.0153561814978249E-3</v>
      </c>
      <c r="AQ29" s="137">
        <f>$AA29*'FZ-CZ'!X30</f>
        <v>0.14837551415010888</v>
      </c>
    </row>
    <row r="30" spans="1:43">
      <c r="Y30" s="1"/>
      <c r="Z30" s="23" t="s">
        <v>210</v>
      </c>
      <c r="AA30" s="47">
        <f t="shared" ref="AA30:AA40" si="4">V4</f>
        <v>0.28059547381693301</v>
      </c>
      <c r="AB30" s="137">
        <f>$AA30*'FZ-CZ'!I31</f>
        <v>0</v>
      </c>
      <c r="AC30" s="137">
        <f>$AA30*'FZ-CZ'!J31</f>
        <v>0</v>
      </c>
      <c r="AD30" s="137">
        <f>$AA30*'FZ-CZ'!K31</f>
        <v>0.1471264838584142</v>
      </c>
      <c r="AE30" s="137">
        <f>$AA30*'FZ-CZ'!L31</f>
        <v>8.5267576507023504E-2</v>
      </c>
      <c r="AF30" s="137">
        <f>$AA30*'FZ-CZ'!M31</f>
        <v>0</v>
      </c>
      <c r="AG30" s="137">
        <f>$AA30*'FZ-CZ'!N31</f>
        <v>0</v>
      </c>
      <c r="AH30" s="137">
        <f>$AA30*'FZ-CZ'!O31</f>
        <v>0</v>
      </c>
      <c r="AI30" s="137">
        <f>$AA30*'FZ-CZ'!P31</f>
        <v>0</v>
      </c>
      <c r="AJ30" s="137">
        <f>$AA30*'FZ-CZ'!Q31</f>
        <v>0</v>
      </c>
      <c r="AK30" s="137">
        <f>$AA30*'FZ-CZ'!R31</f>
        <v>0</v>
      </c>
      <c r="AL30" s="137">
        <f>$AA30*'FZ-CZ'!S31</f>
        <v>0</v>
      </c>
      <c r="AM30" s="137">
        <f>$AA30*'FZ-CZ'!T31</f>
        <v>4.8201413451495298E-2</v>
      </c>
      <c r="AN30" s="137">
        <f>$AA30*'FZ-CZ'!U31</f>
        <v>0</v>
      </c>
      <c r="AO30" s="137">
        <f>$AA30*'FZ-CZ'!V31</f>
        <v>0</v>
      </c>
      <c r="AP30" s="137">
        <f>$AA30*'FZ-CZ'!W31</f>
        <v>0</v>
      </c>
      <c r="AQ30" s="137">
        <f>$AA30*'FZ-CZ'!X31</f>
        <v>0</v>
      </c>
    </row>
    <row r="31" spans="1:43" ht="15.95">
      <c r="Y31" s="53"/>
      <c r="Z31" s="23" t="s">
        <v>211</v>
      </c>
      <c r="AA31" s="47">
        <f t="shared" si="4"/>
        <v>0.10285650531384764</v>
      </c>
      <c r="AB31" s="137">
        <f>$AA31*'FZ-CZ'!I32</f>
        <v>1.3897383477802099E-2</v>
      </c>
      <c r="AC31" s="137">
        <f>$AA31*'FZ-CZ'!J32</f>
        <v>8.2488903395654151E-2</v>
      </c>
      <c r="AD31" s="137">
        <f>$AA31*'FZ-CZ'!K32</f>
        <v>6.4645260356874876E-3</v>
      </c>
      <c r="AE31" s="137">
        <f>$AA31*'FZ-CZ'!L32</f>
        <v>0</v>
      </c>
      <c r="AF31" s="137">
        <f>$AA31*'FZ-CZ'!M32</f>
        <v>0</v>
      </c>
      <c r="AG31" s="137">
        <f>$AA31*'FZ-CZ'!N32</f>
        <v>0</v>
      </c>
      <c r="AH31" s="137">
        <f>$AA31*'FZ-CZ'!O32</f>
        <v>0</v>
      </c>
      <c r="AI31" s="137">
        <f>$AA31*'FZ-CZ'!P32</f>
        <v>0</v>
      </c>
      <c r="AJ31" s="137">
        <f>$AA31*'FZ-CZ'!Q32</f>
        <v>0</v>
      </c>
      <c r="AK31" s="137">
        <f>$AA31*'FZ-CZ'!R32</f>
        <v>0</v>
      </c>
      <c r="AL31" s="137">
        <f>$AA31*'FZ-CZ'!S32</f>
        <v>0</v>
      </c>
      <c r="AM31" s="137">
        <f>$AA31*'FZ-CZ'!T32</f>
        <v>0</v>
      </c>
      <c r="AN31" s="137">
        <f>$AA31*'FZ-CZ'!U32</f>
        <v>0</v>
      </c>
      <c r="AO31" s="137">
        <f>$AA31*'FZ-CZ'!V32</f>
        <v>0</v>
      </c>
      <c r="AP31" s="137">
        <f>$AA31*'FZ-CZ'!W32</f>
        <v>0</v>
      </c>
      <c r="AQ31" s="137">
        <f>$AA31*'FZ-CZ'!X32</f>
        <v>5.6924047038978445E-6</v>
      </c>
    </row>
    <row r="32" spans="1:43" ht="15.95">
      <c r="Y32" s="53"/>
      <c r="Z32" s="23" t="s">
        <v>212</v>
      </c>
      <c r="AA32" s="47">
        <f t="shared" si="4"/>
        <v>0.22764715328470347</v>
      </c>
      <c r="AB32" s="137">
        <f>$AA32*'FZ-CZ'!I33</f>
        <v>0</v>
      </c>
      <c r="AC32" s="137">
        <f>$AA32*'FZ-CZ'!J33</f>
        <v>0</v>
      </c>
      <c r="AD32" s="137">
        <f>$AA32*'FZ-CZ'!K33</f>
        <v>0</v>
      </c>
      <c r="AE32" s="137">
        <f>$AA32*'FZ-CZ'!L33</f>
        <v>0</v>
      </c>
      <c r="AF32" s="137">
        <f>$AA32*'FZ-CZ'!M33</f>
        <v>0</v>
      </c>
      <c r="AG32" s="137">
        <f>$AA32*'FZ-CZ'!N33</f>
        <v>0</v>
      </c>
      <c r="AH32" s="137">
        <f>$AA32*'FZ-CZ'!O33</f>
        <v>0</v>
      </c>
      <c r="AI32" s="137">
        <f>$AA32*'FZ-CZ'!P33</f>
        <v>0</v>
      </c>
      <c r="AJ32" s="137">
        <f>$AA32*'FZ-CZ'!Q33</f>
        <v>0</v>
      </c>
      <c r="AK32" s="137">
        <f>$AA32*'FZ-CZ'!R33</f>
        <v>0</v>
      </c>
      <c r="AL32" s="137">
        <f>$AA32*'FZ-CZ'!S33</f>
        <v>0.1929817858542468</v>
      </c>
      <c r="AM32" s="137">
        <f>$AA32*'FZ-CZ'!T33</f>
        <v>0</v>
      </c>
      <c r="AN32" s="137">
        <f>$AA32*'FZ-CZ'!U33</f>
        <v>0</v>
      </c>
      <c r="AO32" s="137">
        <f>$AA32*'FZ-CZ'!V33</f>
        <v>0</v>
      </c>
      <c r="AP32" s="137">
        <f>$AA32*'FZ-CZ'!W33</f>
        <v>0</v>
      </c>
      <c r="AQ32" s="137">
        <f>$AA32*'FZ-CZ'!X33</f>
        <v>3.4665367430456673E-2</v>
      </c>
    </row>
    <row r="33" spans="19:43">
      <c r="Z33" s="23" t="s">
        <v>213</v>
      </c>
      <c r="AA33" s="47">
        <f t="shared" si="4"/>
        <v>0.22764715328470347</v>
      </c>
      <c r="AB33" s="137">
        <f>$AA33*'FZ-CZ'!I34</f>
        <v>0</v>
      </c>
      <c r="AC33" s="137">
        <f>$AA33*'FZ-CZ'!J34</f>
        <v>0</v>
      </c>
      <c r="AD33" s="137">
        <f>$AA33*'FZ-CZ'!K34</f>
        <v>8.282309084688088E-3</v>
      </c>
      <c r="AE33" s="137">
        <f>$AA33*'FZ-CZ'!L34</f>
        <v>0</v>
      </c>
      <c r="AF33" s="137">
        <f>$AA33*'FZ-CZ'!M34</f>
        <v>0</v>
      </c>
      <c r="AG33" s="137">
        <f>$AA33*'FZ-CZ'!N34</f>
        <v>0</v>
      </c>
      <c r="AH33" s="137">
        <f>$AA33*'FZ-CZ'!O34</f>
        <v>0</v>
      </c>
      <c r="AI33" s="137">
        <f>$AA33*'FZ-CZ'!P34</f>
        <v>0</v>
      </c>
      <c r="AJ33" s="137">
        <f>$AA33*'FZ-CZ'!Q34</f>
        <v>0</v>
      </c>
      <c r="AK33" s="137">
        <f>$AA33*'FZ-CZ'!R34</f>
        <v>0</v>
      </c>
      <c r="AL33" s="137">
        <f>$AA33*'FZ-CZ'!S34</f>
        <v>5.024530818846603E-2</v>
      </c>
      <c r="AM33" s="137">
        <f>$AA33*'FZ-CZ'!T34</f>
        <v>0.16528454812379892</v>
      </c>
      <c r="AN33" s="137">
        <f>$AA33*'FZ-CZ'!U34</f>
        <v>0</v>
      </c>
      <c r="AO33" s="137">
        <f>$AA33*'FZ-CZ'!V34</f>
        <v>0</v>
      </c>
      <c r="AP33" s="137">
        <f>$AA33*'FZ-CZ'!W34</f>
        <v>0</v>
      </c>
      <c r="AQ33" s="137">
        <f>$AA33*'FZ-CZ'!X34</f>
        <v>3.8349878877504402E-3</v>
      </c>
    </row>
    <row r="34" spans="19:43">
      <c r="Z34" s="23" t="s">
        <v>214</v>
      </c>
      <c r="AA34" s="47">
        <f t="shared" si="4"/>
        <v>0.18902425594194774</v>
      </c>
      <c r="AB34" s="137">
        <f>$AA34*'FZ-CZ'!I35</f>
        <v>0</v>
      </c>
      <c r="AC34" s="137">
        <f>$AA34*'FZ-CZ'!J35</f>
        <v>0</v>
      </c>
      <c r="AD34" s="137">
        <f>$AA34*'FZ-CZ'!K35</f>
        <v>0</v>
      </c>
      <c r="AE34" s="137">
        <f>$AA34*'FZ-CZ'!L35</f>
        <v>0</v>
      </c>
      <c r="AF34" s="137">
        <f>$AA34*'FZ-CZ'!M35</f>
        <v>0</v>
      </c>
      <c r="AG34" s="137">
        <f>$AA34*'FZ-CZ'!N35</f>
        <v>0</v>
      </c>
      <c r="AH34" s="137">
        <f>$AA34*'FZ-CZ'!O35</f>
        <v>0</v>
      </c>
      <c r="AI34" s="137">
        <f>$AA34*'FZ-CZ'!P35</f>
        <v>0</v>
      </c>
      <c r="AJ34" s="137">
        <f>$AA34*'FZ-CZ'!Q35</f>
        <v>0</v>
      </c>
      <c r="AK34" s="137">
        <f>$AA34*'FZ-CZ'!R35</f>
        <v>0</v>
      </c>
      <c r="AL34" s="137">
        <f>$AA34*'FZ-CZ'!S35</f>
        <v>0</v>
      </c>
      <c r="AM34" s="137">
        <f>$AA34*'FZ-CZ'!T35</f>
        <v>8.6094467471826367E-3</v>
      </c>
      <c r="AN34" s="137">
        <f>$AA34*'FZ-CZ'!U35</f>
        <v>0.17920601558919158</v>
      </c>
      <c r="AO34" s="137">
        <f>$AA34*'FZ-CZ'!V35</f>
        <v>0</v>
      </c>
      <c r="AP34" s="137">
        <f>$AA34*'FZ-CZ'!W35</f>
        <v>0</v>
      </c>
      <c r="AQ34" s="137">
        <f>$AA34*'FZ-CZ'!X35</f>
        <v>1.2087936055735289E-3</v>
      </c>
    </row>
    <row r="35" spans="19:43">
      <c r="Z35" s="23" t="s">
        <v>215</v>
      </c>
      <c r="AA35" s="47">
        <f t="shared" si="4"/>
        <v>0.23589976942651886</v>
      </c>
      <c r="AB35" s="137">
        <f>$AA35*'FZ-CZ'!I36</f>
        <v>0</v>
      </c>
      <c r="AC35" s="137">
        <f>$AA35*'FZ-CZ'!J36</f>
        <v>0</v>
      </c>
      <c r="AD35" s="137">
        <f>$AA35*'FZ-CZ'!K36</f>
        <v>0.12328653509609025</v>
      </c>
      <c r="AE35" s="137">
        <f>$AA35*'FZ-CZ'!L36</f>
        <v>3.6307001153809533E-2</v>
      </c>
      <c r="AF35" s="137">
        <f>$AA35*'FZ-CZ'!M36</f>
        <v>7.6277887765205721E-2</v>
      </c>
      <c r="AG35" s="137">
        <f>$AA35*'FZ-CZ'!N36</f>
        <v>2.8345411413359256E-5</v>
      </c>
      <c r="AH35" s="137">
        <f>$AA35*'FZ-CZ'!O36</f>
        <v>0</v>
      </c>
      <c r="AI35" s="137">
        <f>$AA35*'FZ-CZ'!P36</f>
        <v>0</v>
      </c>
      <c r="AJ35" s="137">
        <f>$AA35*'FZ-CZ'!Q36</f>
        <v>0</v>
      </c>
      <c r="AK35" s="137">
        <f>$AA35*'FZ-CZ'!R36</f>
        <v>0</v>
      </c>
      <c r="AL35" s="137">
        <f>$AA35*'FZ-CZ'!S36</f>
        <v>0</v>
      </c>
      <c r="AM35" s="137">
        <f>$AA35*'FZ-CZ'!T36</f>
        <v>0</v>
      </c>
      <c r="AN35" s="137">
        <f>$AA35*'FZ-CZ'!U36</f>
        <v>0</v>
      </c>
      <c r="AO35" s="137">
        <f>$AA35*'FZ-CZ'!V36</f>
        <v>0</v>
      </c>
      <c r="AP35" s="137">
        <f>$AA35*'FZ-CZ'!W36</f>
        <v>0</v>
      </c>
      <c r="AQ35" s="137">
        <f>$AA35*'FZ-CZ'!X36</f>
        <v>0</v>
      </c>
    </row>
    <row r="36" spans="19:43">
      <c r="Z36" s="24" t="s">
        <v>216</v>
      </c>
      <c r="AA36" s="47">
        <f t="shared" si="4"/>
        <v>0.62997606968910669</v>
      </c>
      <c r="AB36" s="137">
        <f>$AA36*'FZ-CZ'!I37</f>
        <v>0</v>
      </c>
      <c r="AC36" s="137">
        <f>$AA36*'FZ-CZ'!J37</f>
        <v>0</v>
      </c>
      <c r="AD36" s="137">
        <f>$AA36*'FZ-CZ'!K37</f>
        <v>0</v>
      </c>
      <c r="AE36" s="137">
        <f>$AA36*'FZ-CZ'!L37</f>
        <v>0</v>
      </c>
      <c r="AF36" s="137">
        <f>$AA36*'FZ-CZ'!M37</f>
        <v>0</v>
      </c>
      <c r="AG36" s="137">
        <f>$AA36*'FZ-CZ'!N37</f>
        <v>0.11900059845843673</v>
      </c>
      <c r="AH36" s="137">
        <f>$AA36*'FZ-CZ'!O37</f>
        <v>0</v>
      </c>
      <c r="AI36" s="137">
        <f>$AA36*'FZ-CZ'!P37</f>
        <v>0.27710537034092986</v>
      </c>
      <c r="AJ36" s="137">
        <f>$AA36*'FZ-CZ'!Q37</f>
        <v>0.20342390153825868</v>
      </c>
      <c r="AK36" s="137">
        <f>$AA36*'FZ-CZ'!R37</f>
        <v>0</v>
      </c>
      <c r="AL36" s="137">
        <f>$AA36*'FZ-CZ'!S37</f>
        <v>0</v>
      </c>
      <c r="AM36" s="137">
        <f>$AA36*'FZ-CZ'!T37</f>
        <v>0</v>
      </c>
      <c r="AN36" s="137">
        <f>$AA36*'FZ-CZ'!U37</f>
        <v>0</v>
      </c>
      <c r="AO36" s="137">
        <f>$AA36*'FZ-CZ'!V37</f>
        <v>2.8386432172143709E-2</v>
      </c>
      <c r="AP36" s="137">
        <f>$AA36*'FZ-CZ'!W37</f>
        <v>0</v>
      </c>
      <c r="AQ36" s="137">
        <f>$AA36*'FZ-CZ'!X37</f>
        <v>2.0597671793377019E-3</v>
      </c>
    </row>
    <row r="37" spans="19:43">
      <c r="Z37" s="24" t="s">
        <v>217</v>
      </c>
      <c r="AA37" s="47">
        <f t="shared" si="4"/>
        <v>0.50445401803813705</v>
      </c>
      <c r="AB37" s="137">
        <f>$AA37*'FZ-CZ'!I38</f>
        <v>0</v>
      </c>
      <c r="AC37" s="137">
        <f>$AA37*'FZ-CZ'!J38</f>
        <v>0</v>
      </c>
      <c r="AD37" s="137">
        <f>$AA37*'FZ-CZ'!K38</f>
        <v>0</v>
      </c>
      <c r="AE37" s="137">
        <f>$AA37*'FZ-CZ'!L38</f>
        <v>0</v>
      </c>
      <c r="AF37" s="137">
        <f>$AA37*'FZ-CZ'!M38</f>
        <v>9.2264604647597395E-4</v>
      </c>
      <c r="AG37" s="137">
        <f>$AA37*'FZ-CZ'!N38</f>
        <v>0.30866695148642165</v>
      </c>
      <c r="AH37" s="137">
        <f>$AA37*'FZ-CZ'!O38</f>
        <v>0</v>
      </c>
      <c r="AI37" s="137">
        <f>$AA37*'FZ-CZ'!P38</f>
        <v>0</v>
      </c>
      <c r="AJ37" s="137">
        <f>$AA37*'FZ-CZ'!Q38</f>
        <v>0.18774911598887298</v>
      </c>
      <c r="AK37" s="137">
        <f>$AA37*'FZ-CZ'!R38</f>
        <v>0</v>
      </c>
      <c r="AL37" s="137">
        <f>$AA37*'FZ-CZ'!S38</f>
        <v>0</v>
      </c>
      <c r="AM37" s="137">
        <f>$AA37*'FZ-CZ'!T38</f>
        <v>0</v>
      </c>
      <c r="AN37" s="137">
        <f>$AA37*'FZ-CZ'!U38</f>
        <v>0</v>
      </c>
      <c r="AO37" s="137">
        <f>$AA37*'FZ-CZ'!V38</f>
        <v>0</v>
      </c>
      <c r="AP37" s="137">
        <f>$AA37*'FZ-CZ'!W38</f>
        <v>0</v>
      </c>
      <c r="AQ37" s="137">
        <f>$AA37*'FZ-CZ'!X38</f>
        <v>7.1153045163664759E-3</v>
      </c>
    </row>
    <row r="38" spans="19:43">
      <c r="Z38" s="24" t="s">
        <v>218</v>
      </c>
      <c r="AA38" s="47">
        <f t="shared" si="4"/>
        <v>5.6283748971859983E-2</v>
      </c>
      <c r="AB38" s="137">
        <f>$AA38*'FZ-CZ'!I39</f>
        <v>0</v>
      </c>
      <c r="AC38" s="137">
        <f>$AA38*'FZ-CZ'!J39</f>
        <v>0</v>
      </c>
      <c r="AD38" s="137">
        <f>$AA38*'FZ-CZ'!K39</f>
        <v>0</v>
      </c>
      <c r="AE38" s="137">
        <f>$AA38*'FZ-CZ'!L39</f>
        <v>0</v>
      </c>
      <c r="AF38" s="137">
        <f>$AA38*'FZ-CZ'!M39</f>
        <v>0</v>
      </c>
      <c r="AG38" s="137">
        <f>$AA38*'FZ-CZ'!N39</f>
        <v>0</v>
      </c>
      <c r="AH38" s="137">
        <f>$AA38*'FZ-CZ'!O39</f>
        <v>0</v>
      </c>
      <c r="AI38" s="137">
        <f>$AA38*'FZ-CZ'!P39</f>
        <v>0</v>
      </c>
      <c r="AJ38" s="137">
        <f>$AA38*'FZ-CZ'!Q39</f>
        <v>0</v>
      </c>
      <c r="AK38" s="137">
        <f>$AA38*'FZ-CZ'!R39</f>
        <v>0</v>
      </c>
      <c r="AL38" s="137">
        <f>$AA38*'FZ-CZ'!S39</f>
        <v>0</v>
      </c>
      <c r="AM38" s="137">
        <f>$AA38*'FZ-CZ'!T39</f>
        <v>0</v>
      </c>
      <c r="AN38" s="137">
        <f>$AA38*'FZ-CZ'!U39</f>
        <v>4.4175431476829674E-2</v>
      </c>
      <c r="AO38" s="137">
        <f>$AA38*'FZ-CZ'!V39</f>
        <v>6.8113991886914367E-3</v>
      </c>
      <c r="AP38" s="137">
        <f>$AA38*'FZ-CZ'!W39</f>
        <v>0</v>
      </c>
      <c r="AQ38" s="137">
        <f>$AA38*'FZ-CZ'!X39</f>
        <v>5.2969183063388721E-3</v>
      </c>
    </row>
    <row r="39" spans="19:43">
      <c r="S39" s="19"/>
      <c r="T39" s="19"/>
      <c r="Z39" s="24" t="s">
        <v>219</v>
      </c>
      <c r="AA39" s="47">
        <f t="shared" si="4"/>
        <v>0.41941527860681393</v>
      </c>
      <c r="AB39" s="137">
        <f>$AA39*'FZ-CZ'!I40</f>
        <v>0</v>
      </c>
      <c r="AC39" s="137">
        <f>$AA39*'FZ-CZ'!J40</f>
        <v>0</v>
      </c>
      <c r="AD39" s="137">
        <f>$AA39*'FZ-CZ'!K40</f>
        <v>0</v>
      </c>
      <c r="AE39" s="137">
        <f>$AA39*'FZ-CZ'!L40</f>
        <v>0</v>
      </c>
      <c r="AF39" s="137">
        <f>$AA39*'FZ-CZ'!M40</f>
        <v>0</v>
      </c>
      <c r="AG39" s="137">
        <f>$AA39*'FZ-CZ'!N40</f>
        <v>0</v>
      </c>
      <c r="AH39" s="137">
        <f>$AA39*'FZ-CZ'!O40</f>
        <v>0</v>
      </c>
      <c r="AI39" s="137">
        <f>$AA39*'FZ-CZ'!P40</f>
        <v>0</v>
      </c>
      <c r="AJ39" s="137">
        <f>$AA39*'FZ-CZ'!Q40</f>
        <v>0</v>
      </c>
      <c r="AK39" s="137">
        <f>$AA39*'FZ-CZ'!R40</f>
        <v>0.29856352906313394</v>
      </c>
      <c r="AL39" s="137">
        <f>$AA39*'FZ-CZ'!S40</f>
        <v>0</v>
      </c>
      <c r="AM39" s="137">
        <f>$AA39*'FZ-CZ'!T40</f>
        <v>0</v>
      </c>
      <c r="AN39" s="137">
        <f>$AA39*'FZ-CZ'!U40</f>
        <v>0</v>
      </c>
      <c r="AO39" s="137">
        <f>$AA39*'FZ-CZ'!V40</f>
        <v>0.10136952881192125</v>
      </c>
      <c r="AP39" s="137">
        <f>$AA39*'FZ-CZ'!W40</f>
        <v>4.014493498072627E-4</v>
      </c>
      <c r="AQ39" s="137">
        <f>$AA39*'FZ-CZ'!X40</f>
        <v>1.9080771381951491E-2</v>
      </c>
    </row>
    <row r="40" spans="19:43">
      <c r="Z40" s="24" t="s">
        <v>220</v>
      </c>
      <c r="AA40" s="47">
        <f t="shared" si="4"/>
        <v>0.52492102906876836</v>
      </c>
      <c r="AB40" s="137">
        <f>$AA40*'FZ-CZ'!I41</f>
        <v>0</v>
      </c>
      <c r="AC40" s="137">
        <f>$AA40*'FZ-CZ'!J41</f>
        <v>0</v>
      </c>
      <c r="AD40" s="137">
        <f>$AA40*'FZ-CZ'!K41</f>
        <v>0</v>
      </c>
      <c r="AE40" s="137">
        <f>$AA40*'FZ-CZ'!L41</f>
        <v>0</v>
      </c>
      <c r="AF40" s="137">
        <f>$AA40*'FZ-CZ'!M41</f>
        <v>0</v>
      </c>
      <c r="AG40" s="137">
        <f>$AA40*'FZ-CZ'!N41</f>
        <v>0</v>
      </c>
      <c r="AH40" s="137">
        <f>$AA40*'FZ-CZ'!O41</f>
        <v>0</v>
      </c>
      <c r="AI40" s="137">
        <f>$AA40*'FZ-CZ'!P41</f>
        <v>0</v>
      </c>
      <c r="AJ40" s="137">
        <f>$AA40*'FZ-CZ'!Q41</f>
        <v>0</v>
      </c>
      <c r="AK40" s="137">
        <f>$AA40*'FZ-CZ'!R41</f>
        <v>0.45200644745805357</v>
      </c>
      <c r="AL40" s="137">
        <f>$AA40*'FZ-CZ'!S41</f>
        <v>0</v>
      </c>
      <c r="AM40" s="137">
        <f>$AA40*'FZ-CZ'!T41</f>
        <v>0</v>
      </c>
      <c r="AN40" s="137">
        <f>$AA40*'FZ-CZ'!U41</f>
        <v>0</v>
      </c>
      <c r="AO40" s="137">
        <f>$AA40*'FZ-CZ'!V41</f>
        <v>1.3280425327703146E-6</v>
      </c>
      <c r="AP40" s="137">
        <f>$AA40*'FZ-CZ'!W41</f>
        <v>6.999740338323153E-2</v>
      </c>
      <c r="AQ40" s="137">
        <f>$AA40*'FZ-CZ'!X41</f>
        <v>2.9158501849505026E-3</v>
      </c>
    </row>
    <row r="41" spans="19:43">
      <c r="Z41" s="24" t="s">
        <v>222</v>
      </c>
      <c r="AA41" s="47">
        <f>(V15+V16)/2</f>
        <v>0.44582277391953873</v>
      </c>
      <c r="AB41" s="137">
        <f>$AA41*'FZ-CZ'!I42</f>
        <v>0</v>
      </c>
      <c r="AC41" s="137">
        <f>$AA41*'FZ-CZ'!J42</f>
        <v>0</v>
      </c>
      <c r="AD41" s="137">
        <f>$AA41*'FZ-CZ'!K42</f>
        <v>0</v>
      </c>
      <c r="AE41" s="137">
        <f>$AA41*'FZ-CZ'!L42</f>
        <v>0</v>
      </c>
      <c r="AF41" s="137">
        <f>$AA41*'FZ-CZ'!M42</f>
        <v>0</v>
      </c>
      <c r="AG41" s="137">
        <f>$AA41*'FZ-CZ'!N42</f>
        <v>2.9404325141778535E-2</v>
      </c>
      <c r="AH41" s="137">
        <f>$AA41*'FZ-CZ'!O42</f>
        <v>0.28001123282589496</v>
      </c>
      <c r="AI41" s="137">
        <f>$AA41*'FZ-CZ'!P42</f>
        <v>8.6403606491201445E-3</v>
      </c>
      <c r="AJ41" s="137">
        <f>$AA41*'FZ-CZ'!Q42</f>
        <v>0</v>
      </c>
      <c r="AK41" s="137">
        <f>$AA41*'FZ-CZ'!R42</f>
        <v>0.12429576172820442</v>
      </c>
      <c r="AL41" s="137">
        <f>$AA41*'FZ-CZ'!S42</f>
        <v>0</v>
      </c>
      <c r="AM41" s="137">
        <f>$AA41*'FZ-CZ'!T42</f>
        <v>0</v>
      </c>
      <c r="AN41" s="137">
        <f>$AA41*'FZ-CZ'!U42</f>
        <v>0</v>
      </c>
      <c r="AO41" s="137">
        <f>$AA41*'FZ-CZ'!V42</f>
        <v>2.9524896912953226E-3</v>
      </c>
      <c r="AP41" s="137">
        <f>$AA41*'FZ-CZ'!W42</f>
        <v>5.1860388324536982E-4</v>
      </c>
      <c r="AQ41" s="137">
        <f>$AA41*'FZ-CZ'!X42</f>
        <v>0</v>
      </c>
    </row>
    <row r="42" spans="19:43">
      <c r="Z42" s="24" t="s">
        <v>224</v>
      </c>
      <c r="AA42" s="47">
        <f>V17</f>
        <v>0.33477968764715826</v>
      </c>
      <c r="AB42" s="137">
        <f>$AA42*'FZ-CZ'!I43</f>
        <v>0</v>
      </c>
      <c r="AC42" s="137">
        <f>$AA42*'FZ-CZ'!J43</f>
        <v>0</v>
      </c>
      <c r="AD42" s="137">
        <f>$AA42*'FZ-CZ'!K43</f>
        <v>0</v>
      </c>
      <c r="AE42" s="137">
        <f>$AA42*'FZ-CZ'!L43</f>
        <v>0</v>
      </c>
      <c r="AF42" s="137">
        <f>$AA42*'FZ-CZ'!M43</f>
        <v>0</v>
      </c>
      <c r="AG42" s="137">
        <f>$AA42*'FZ-CZ'!N43</f>
        <v>0</v>
      </c>
      <c r="AH42" s="137">
        <f>$AA42*'FZ-CZ'!O43</f>
        <v>0</v>
      </c>
      <c r="AI42" s="137">
        <f>$AA42*'FZ-CZ'!P43</f>
        <v>0</v>
      </c>
      <c r="AJ42" s="137">
        <f>$AA42*'FZ-CZ'!Q43</f>
        <v>0</v>
      </c>
      <c r="AK42" s="137">
        <f>$AA42*'FZ-CZ'!R43</f>
        <v>0</v>
      </c>
      <c r="AL42" s="137">
        <f>$AA42*'FZ-CZ'!S43</f>
        <v>1.409095348025445E-3</v>
      </c>
      <c r="AM42" s="137">
        <f>$AA42*'FZ-CZ'!T43</f>
        <v>0.33337059229913285</v>
      </c>
      <c r="AN42" s="137">
        <f>$AA42*'FZ-CZ'!U43</f>
        <v>0</v>
      </c>
      <c r="AO42" s="137">
        <f>$AA42*'FZ-CZ'!V43</f>
        <v>0</v>
      </c>
      <c r="AP42" s="137">
        <f>$AA42*'FZ-CZ'!W43</f>
        <v>0</v>
      </c>
      <c r="AQ42" s="137">
        <f>$AA42*'FZ-CZ'!X43</f>
        <v>0</v>
      </c>
    </row>
    <row r="43" spans="19:43">
      <c r="Z43" s="24" t="s">
        <v>225</v>
      </c>
      <c r="AA43" s="47">
        <f>V8</f>
        <v>0.18902425594194774</v>
      </c>
      <c r="AB43" s="137">
        <f>$AA43*'FZ-CZ'!I44</f>
        <v>0</v>
      </c>
      <c r="AC43" s="137">
        <f>$AA43*'FZ-CZ'!J44</f>
        <v>0</v>
      </c>
      <c r="AD43" s="137">
        <f>$AA43*'FZ-CZ'!K44</f>
        <v>0</v>
      </c>
      <c r="AE43" s="137">
        <f>$AA43*'FZ-CZ'!L44</f>
        <v>0</v>
      </c>
      <c r="AF43" s="137">
        <f>$AA43*'FZ-CZ'!M44</f>
        <v>0</v>
      </c>
      <c r="AG43" s="137">
        <f>$AA43*'FZ-CZ'!N44</f>
        <v>0</v>
      </c>
      <c r="AH43" s="137">
        <f>$AA43*'FZ-CZ'!O44</f>
        <v>0</v>
      </c>
      <c r="AI43" s="137">
        <f>$AA43*'FZ-CZ'!P44</f>
        <v>0</v>
      </c>
      <c r="AJ43" s="137">
        <f>$AA43*'FZ-CZ'!Q44</f>
        <v>0</v>
      </c>
      <c r="AK43" s="137">
        <f>$AA43*'FZ-CZ'!R44</f>
        <v>0</v>
      </c>
      <c r="AL43" s="137">
        <f>$AA43*'FZ-CZ'!S44</f>
        <v>0</v>
      </c>
      <c r="AM43" s="137">
        <f>$AA43*'FZ-CZ'!T44</f>
        <v>0.18902425594194774</v>
      </c>
      <c r="AN43" s="137">
        <f>$AA43*'FZ-CZ'!U44</f>
        <v>0</v>
      </c>
      <c r="AO43" s="137">
        <f>$AA43*'FZ-CZ'!V44</f>
        <v>0</v>
      </c>
      <c r="AP43" s="137">
        <f>$AA43*'FZ-CZ'!W44</f>
        <v>0</v>
      </c>
      <c r="AQ43" s="137">
        <f>$AA43*'FZ-CZ'!X44</f>
        <v>0</v>
      </c>
    </row>
    <row r="44" spans="19:43">
      <c r="Z44" s="24" t="s">
        <v>227</v>
      </c>
      <c r="AA44" s="47">
        <f>V8</f>
        <v>0.18902425594194774</v>
      </c>
      <c r="AB44" s="137">
        <f>$AA44*'FZ-CZ'!I45</f>
        <v>0</v>
      </c>
      <c r="AC44" s="137">
        <f>$AA44*'FZ-CZ'!J45</f>
        <v>3.6650923374473727E-4</v>
      </c>
      <c r="AD44" s="137">
        <f>$AA44*'FZ-CZ'!K45</f>
        <v>0</v>
      </c>
      <c r="AE44" s="137">
        <f>$AA44*'FZ-CZ'!L45</f>
        <v>0</v>
      </c>
      <c r="AF44" s="137">
        <f>$AA44*'FZ-CZ'!M45</f>
        <v>0</v>
      </c>
      <c r="AG44" s="137">
        <f>$AA44*'FZ-CZ'!N45</f>
        <v>0</v>
      </c>
      <c r="AH44" s="137">
        <f>$AA44*'FZ-CZ'!O45</f>
        <v>0</v>
      </c>
      <c r="AI44" s="137">
        <f>$AA44*'FZ-CZ'!P45</f>
        <v>0</v>
      </c>
      <c r="AJ44" s="137">
        <f>$AA44*'FZ-CZ'!Q45</f>
        <v>0</v>
      </c>
      <c r="AK44" s="137">
        <f>$AA44*'FZ-CZ'!R45</f>
        <v>0</v>
      </c>
      <c r="AL44" s="137">
        <f>$AA44*'FZ-CZ'!S45</f>
        <v>8.4201846727779417E-2</v>
      </c>
      <c r="AM44" s="137">
        <f>$AA44*'FZ-CZ'!T45</f>
        <v>9.9526466041032893E-2</v>
      </c>
      <c r="AN44" s="137">
        <f>$AA44*'FZ-CZ'!U45</f>
        <v>0</v>
      </c>
      <c r="AO44" s="137">
        <f>$AA44*'FZ-CZ'!V45</f>
        <v>0</v>
      </c>
      <c r="AP44" s="137">
        <f>$AA44*'FZ-CZ'!W45</f>
        <v>0</v>
      </c>
      <c r="AQ44" s="137">
        <f>$AA44*'FZ-CZ'!X45</f>
        <v>4.9294339393906959E-3</v>
      </c>
    </row>
    <row r="45" spans="19:43">
      <c r="Z45" s="24" t="s">
        <v>226</v>
      </c>
      <c r="AA45" s="47">
        <f>V18</f>
        <v>0.35498215678068606</v>
      </c>
      <c r="AB45" s="137">
        <f>$AA45*'FZ-CZ'!I46</f>
        <v>0</v>
      </c>
      <c r="AC45" s="137">
        <f>$AA45*'FZ-CZ'!J46</f>
        <v>0</v>
      </c>
      <c r="AD45" s="137">
        <f>$AA45*'FZ-CZ'!K46</f>
        <v>0</v>
      </c>
      <c r="AE45" s="137">
        <f>$AA45*'FZ-CZ'!L46</f>
        <v>0</v>
      </c>
      <c r="AF45" s="137">
        <f>$AA45*'FZ-CZ'!M46</f>
        <v>0</v>
      </c>
      <c r="AG45" s="137">
        <f>$AA45*'FZ-CZ'!N46</f>
        <v>6.0984165370627751E-2</v>
      </c>
      <c r="AH45" s="137">
        <f>$AA45*'FZ-CZ'!O46</f>
        <v>0</v>
      </c>
      <c r="AI45" s="137">
        <f>$AA45*'FZ-CZ'!P46</f>
        <v>9.9045298601764351E-2</v>
      </c>
      <c r="AJ45" s="137">
        <f>$AA45*'FZ-CZ'!Q46</f>
        <v>0.19495269280829397</v>
      </c>
      <c r="AK45" s="137">
        <f>$AA45*'FZ-CZ'!R46</f>
        <v>0</v>
      </c>
      <c r="AL45" s="137">
        <f>$AA45*'FZ-CZ'!S46</f>
        <v>0</v>
      </c>
      <c r="AM45" s="137">
        <f>$AA45*'FZ-CZ'!T46</f>
        <v>0</v>
      </c>
      <c r="AN45" s="137">
        <f>$AA45*'FZ-CZ'!U46</f>
        <v>0</v>
      </c>
      <c r="AO45" s="137">
        <f>$AA45*'FZ-CZ'!V46</f>
        <v>0</v>
      </c>
      <c r="AP45" s="137">
        <f>$AA45*'FZ-CZ'!W46</f>
        <v>0</v>
      </c>
      <c r="AQ45" s="137">
        <f>$AA45*'FZ-CZ'!X46</f>
        <v>0</v>
      </c>
    </row>
    <row r="46" spans="19:43">
      <c r="Z46" s="24" t="s">
        <v>228</v>
      </c>
      <c r="AA46" s="47">
        <f>V19</f>
        <v>0.31892297110776657</v>
      </c>
      <c r="AB46" s="137">
        <f>$AA46*'FZ-CZ'!I47</f>
        <v>0</v>
      </c>
      <c r="AC46" s="137">
        <f>$AA46*'FZ-CZ'!J47</f>
        <v>0</v>
      </c>
      <c r="AD46" s="137">
        <f>$AA46*'FZ-CZ'!K47</f>
        <v>0</v>
      </c>
      <c r="AE46" s="137">
        <f>$AA46*'FZ-CZ'!L47</f>
        <v>0</v>
      </c>
      <c r="AF46" s="137">
        <f>$AA46*'FZ-CZ'!M47</f>
        <v>0</v>
      </c>
      <c r="AG46" s="137">
        <f>$AA46*'FZ-CZ'!N47</f>
        <v>0</v>
      </c>
      <c r="AH46" s="137">
        <f>$AA46*'FZ-CZ'!O47</f>
        <v>0</v>
      </c>
      <c r="AI46" s="137">
        <f>$AA46*'FZ-CZ'!P47</f>
        <v>0</v>
      </c>
      <c r="AJ46" s="137">
        <f>$AA46*'FZ-CZ'!Q47</f>
        <v>0.316863016179248</v>
      </c>
      <c r="AK46" s="137">
        <f>$AA46*'FZ-CZ'!R47</f>
        <v>0</v>
      </c>
      <c r="AL46" s="137">
        <f>$AA46*'FZ-CZ'!S47</f>
        <v>0</v>
      </c>
      <c r="AM46" s="137">
        <f>$AA46*'FZ-CZ'!T47</f>
        <v>0</v>
      </c>
      <c r="AN46" s="137">
        <f>$AA46*'FZ-CZ'!U47</f>
        <v>0</v>
      </c>
      <c r="AO46" s="137">
        <f>$AA46*'FZ-CZ'!V47</f>
        <v>0</v>
      </c>
      <c r="AP46" s="137">
        <f>$AA46*'FZ-CZ'!W47</f>
        <v>0</v>
      </c>
      <c r="AQ46" s="137">
        <f>$AA46*'FZ-CZ'!X47</f>
        <v>2.0599549285185838E-3</v>
      </c>
    </row>
    <row r="47" spans="19:43">
      <c r="Z47" s="24" t="s">
        <v>229</v>
      </c>
      <c r="AA47" s="47">
        <f>V19</f>
        <v>0.31892297110776657</v>
      </c>
      <c r="AB47" s="137">
        <f>$AA47*'FZ-CZ'!I48</f>
        <v>0</v>
      </c>
      <c r="AC47" s="137">
        <f>$AA47*'FZ-CZ'!J48</f>
        <v>0</v>
      </c>
      <c r="AD47" s="137">
        <f>$AA47*'FZ-CZ'!K48</f>
        <v>0</v>
      </c>
      <c r="AE47" s="137">
        <f>$AA47*'FZ-CZ'!L48</f>
        <v>0</v>
      </c>
      <c r="AF47" s="137">
        <f>$AA47*'FZ-CZ'!M48</f>
        <v>0</v>
      </c>
      <c r="AG47" s="137">
        <f>$AA47*'FZ-CZ'!N48</f>
        <v>0</v>
      </c>
      <c r="AH47" s="137">
        <f>$AA47*'FZ-CZ'!O48</f>
        <v>0</v>
      </c>
      <c r="AI47" s="137">
        <f>$AA47*'FZ-CZ'!P48</f>
        <v>0</v>
      </c>
      <c r="AJ47" s="137">
        <f>$AA47*'FZ-CZ'!Q48</f>
        <v>0.31892297110776657</v>
      </c>
      <c r="AK47" s="137">
        <f>$AA47*'FZ-CZ'!R48</f>
        <v>0</v>
      </c>
      <c r="AL47" s="137">
        <f>$AA47*'FZ-CZ'!S48</f>
        <v>0</v>
      </c>
      <c r="AM47" s="137">
        <f>$AA47*'FZ-CZ'!T48</f>
        <v>0</v>
      </c>
      <c r="AN47" s="137">
        <f>$AA47*'FZ-CZ'!U48</f>
        <v>0</v>
      </c>
      <c r="AO47" s="137">
        <f>$AA47*'FZ-CZ'!V48</f>
        <v>0</v>
      </c>
      <c r="AP47" s="137">
        <f>$AA47*'FZ-CZ'!W48</f>
        <v>0</v>
      </c>
      <c r="AQ47" s="137">
        <f>$AA47*'FZ-CZ'!X48</f>
        <v>0</v>
      </c>
    </row>
    <row r="48" spans="19:43">
      <c r="Z48" s="24" t="s">
        <v>230</v>
      </c>
      <c r="AA48" s="47">
        <f>V14</f>
        <v>0.52492102906876836</v>
      </c>
      <c r="AB48" s="137">
        <f>$AA48*'FZ-CZ'!I49</f>
        <v>0</v>
      </c>
      <c r="AC48" s="137">
        <f>$AA48*'FZ-CZ'!J49</f>
        <v>0</v>
      </c>
      <c r="AD48" s="137">
        <f>$AA48*'FZ-CZ'!K49</f>
        <v>0</v>
      </c>
      <c r="AE48" s="137">
        <f>$AA48*'FZ-CZ'!L49</f>
        <v>0</v>
      </c>
      <c r="AF48" s="137">
        <f>$AA48*'FZ-CZ'!M49</f>
        <v>0</v>
      </c>
      <c r="AG48" s="137">
        <f>$AA48*'FZ-CZ'!N49</f>
        <v>0</v>
      </c>
      <c r="AH48" s="137">
        <f>$AA48*'FZ-CZ'!O49</f>
        <v>0</v>
      </c>
      <c r="AI48" s="137">
        <f>$AA48*'FZ-CZ'!P49</f>
        <v>0</v>
      </c>
      <c r="AJ48" s="137">
        <f>$AA48*'FZ-CZ'!Q49</f>
        <v>0</v>
      </c>
      <c r="AK48" s="137">
        <f>$AA48*'FZ-CZ'!R49</f>
        <v>0</v>
      </c>
      <c r="AL48" s="137">
        <f>$AA48*'FZ-CZ'!S49</f>
        <v>0</v>
      </c>
      <c r="AM48" s="137">
        <f>$AA48*'FZ-CZ'!T49</f>
        <v>0</v>
      </c>
      <c r="AN48" s="137">
        <f>$AA48*'FZ-CZ'!U49</f>
        <v>0</v>
      </c>
      <c r="AO48" s="137">
        <f>$AA48*'FZ-CZ'!V49</f>
        <v>1.2713652866983648E-4</v>
      </c>
      <c r="AP48" s="137">
        <f>$AA48*'FZ-CZ'!W49</f>
        <v>0.52479389254009856</v>
      </c>
      <c r="AQ48" s="137">
        <f>$AA48*'FZ-CZ'!X49</f>
        <v>0</v>
      </c>
    </row>
    <row r="49" spans="26:43">
      <c r="Z49" s="24" t="s">
        <v>231</v>
      </c>
      <c r="AA49" s="47">
        <f>V13</f>
        <v>0.41941527860681393</v>
      </c>
      <c r="AB49" s="137">
        <f>$AA49*'FZ-CZ'!I50</f>
        <v>0</v>
      </c>
      <c r="AC49" s="137">
        <f>$AA49*'FZ-CZ'!J50</f>
        <v>0</v>
      </c>
      <c r="AD49" s="137">
        <f>$AA49*'FZ-CZ'!K50</f>
        <v>0</v>
      </c>
      <c r="AE49" s="137">
        <f>$AA49*'FZ-CZ'!L50</f>
        <v>0</v>
      </c>
      <c r="AF49" s="137">
        <f>$AA49*'FZ-CZ'!M50</f>
        <v>0</v>
      </c>
      <c r="AG49" s="137">
        <f>$AA49*'FZ-CZ'!N50</f>
        <v>0</v>
      </c>
      <c r="AH49" s="137">
        <f>$AA49*'FZ-CZ'!O50</f>
        <v>0</v>
      </c>
      <c r="AI49" s="137">
        <f>$AA49*'FZ-CZ'!P50</f>
        <v>0</v>
      </c>
      <c r="AJ49" s="137">
        <f>$AA49*'FZ-CZ'!Q50</f>
        <v>0</v>
      </c>
      <c r="AK49" s="137">
        <f>$AA49*'FZ-CZ'!R50</f>
        <v>0</v>
      </c>
      <c r="AL49" s="137">
        <f>$AA49*'FZ-CZ'!S50</f>
        <v>0</v>
      </c>
      <c r="AM49" s="137">
        <f>$AA49*'FZ-CZ'!T50</f>
        <v>0</v>
      </c>
      <c r="AN49" s="137">
        <f>$AA49*'FZ-CZ'!U50</f>
        <v>0</v>
      </c>
      <c r="AO49" s="137">
        <f>$AA49*'FZ-CZ'!V50</f>
        <v>0</v>
      </c>
      <c r="AP49" s="137">
        <f>$AA49*'FZ-CZ'!W50</f>
        <v>0</v>
      </c>
      <c r="AQ49" s="137">
        <f>$AA49*'FZ-CZ'!X50</f>
        <v>0.41941527860681393</v>
      </c>
    </row>
    <row r="50" spans="26:43">
      <c r="Z50" s="24" t="s">
        <v>232</v>
      </c>
      <c r="AB50" s="137">
        <f t="shared" ref="AB50:AQ50" si="5">SUM(AB29:AB49)</f>
        <v>4.7730848176387758E-2</v>
      </c>
      <c r="AC50" s="137">
        <f t="shared" si="5"/>
        <v>8.2855412629398884E-2</v>
      </c>
      <c r="AD50" s="137">
        <f t="shared" si="5"/>
        <v>0.28515985407487998</v>
      </c>
      <c r="AE50" s="137">
        <f t="shared" si="5"/>
        <v>0.12157457766083304</v>
      </c>
      <c r="AF50" s="137">
        <f t="shared" si="5"/>
        <v>7.7200533811681696E-2</v>
      </c>
      <c r="AG50" s="137">
        <f t="shared" si="5"/>
        <v>0.518084385868678</v>
      </c>
      <c r="AH50" s="137">
        <f t="shared" si="5"/>
        <v>0.28001123282589496</v>
      </c>
      <c r="AI50" s="137">
        <f t="shared" si="5"/>
        <v>0.38479102959181438</v>
      </c>
      <c r="AJ50" s="137">
        <f t="shared" si="5"/>
        <v>1.2219116976224402</v>
      </c>
      <c r="AK50" s="137">
        <f t="shared" si="5"/>
        <v>0.87486573824939196</v>
      </c>
      <c r="AL50" s="137">
        <f t="shared" si="5"/>
        <v>0.32963550328514502</v>
      </c>
      <c r="AM50" s="137">
        <f t="shared" si="5"/>
        <v>0.84401672260459026</v>
      </c>
      <c r="AN50" s="137">
        <f t="shared" si="5"/>
        <v>0.22338144706602125</v>
      </c>
      <c r="AO50" s="137">
        <f t="shared" si="5"/>
        <v>0.13965076818038241</v>
      </c>
      <c r="AP50" s="137">
        <f t="shared" si="5"/>
        <v>0.60172670533788053</v>
      </c>
      <c r="AQ50" s="137">
        <f t="shared" si="5"/>
        <v>0.65096363452226169</v>
      </c>
    </row>
    <row r="51" spans="26:43">
      <c r="Z51" s="48" t="s">
        <v>233</v>
      </c>
      <c r="AB51" s="137">
        <f>AB50/(AB24+AB50+AB77)</f>
        <v>0.16953287025664909</v>
      </c>
      <c r="AC51" s="137">
        <f t="shared" ref="AC51:AQ51" si="6">AC50/(AC24+AC50+AC77)</f>
        <v>0.11952452214019187</v>
      </c>
      <c r="AD51" s="137">
        <f t="shared" si="6"/>
        <v>0.27164112770723664</v>
      </c>
      <c r="AE51" s="137">
        <f t="shared" si="6"/>
        <v>0.28943550224992476</v>
      </c>
      <c r="AF51" s="137">
        <f t="shared" si="6"/>
        <v>0.25624227721470549</v>
      </c>
      <c r="AG51" s="137">
        <f t="shared" si="6"/>
        <v>0.55379956738529079</v>
      </c>
      <c r="AH51" s="137">
        <f t="shared" si="6"/>
        <v>0.50121672124725547</v>
      </c>
      <c r="AI51" s="137">
        <f t="shared" si="6"/>
        <v>0.59973366278841578</v>
      </c>
      <c r="AJ51" s="137">
        <f t="shared" si="6"/>
        <v>0.42660407455144062</v>
      </c>
      <c r="AK51" s="137">
        <f t="shared" si="6"/>
        <v>0.50218471834066858</v>
      </c>
      <c r="AL51" s="137">
        <f t="shared" si="6"/>
        <v>0.23932331899947071</v>
      </c>
      <c r="AM51" s="137">
        <f t="shared" si="6"/>
        <v>0.27025179109473668</v>
      </c>
      <c r="AN51" s="137">
        <f t="shared" si="6"/>
        <v>0.13821722459724894</v>
      </c>
      <c r="AO51" s="137">
        <f t="shared" si="6"/>
        <v>0.36370721434457981</v>
      </c>
      <c r="AP51" s="137">
        <f t="shared" si="6"/>
        <v>0.52657563173633404</v>
      </c>
      <c r="AQ51" s="137">
        <f t="shared" si="6"/>
        <v>0.32942604912516604</v>
      </c>
    </row>
    <row r="52" spans="26:43">
      <c r="Z52" s="24"/>
    </row>
    <row r="55" spans="26:43" ht="32.1">
      <c r="Z55" s="45"/>
      <c r="AA55" s="5" t="str">
        <f>X2</f>
        <v>Saturation
(Other Fuels)</v>
      </c>
      <c r="AB55" s="30">
        <v>1</v>
      </c>
      <c r="AC55" s="34">
        <v>2</v>
      </c>
      <c r="AD55" s="34">
        <v>3</v>
      </c>
      <c r="AE55" s="34">
        <v>4</v>
      </c>
      <c r="AF55" s="34">
        <v>5</v>
      </c>
      <c r="AG55" s="34">
        <v>6</v>
      </c>
      <c r="AH55" s="34">
        <v>7</v>
      </c>
      <c r="AI55" s="34">
        <v>8</v>
      </c>
      <c r="AJ55" s="34">
        <v>9</v>
      </c>
      <c r="AK55" s="34">
        <v>10</v>
      </c>
      <c r="AL55" s="34">
        <v>11</v>
      </c>
      <c r="AM55" s="34">
        <v>12</v>
      </c>
      <c r="AN55" s="34">
        <v>13</v>
      </c>
      <c r="AO55" s="34">
        <v>14</v>
      </c>
      <c r="AP55" s="34">
        <v>15</v>
      </c>
      <c r="AQ55" s="38">
        <v>16</v>
      </c>
    </row>
    <row r="56" spans="26:43">
      <c r="Z56" t="s">
        <v>209</v>
      </c>
      <c r="AA56" s="44">
        <f>AA71</f>
        <v>5.4442424021695609E-3</v>
      </c>
      <c r="AB56" s="64">
        <f>$AA56*'FZ-CZ'!I30</f>
        <v>9.7446532566125771E-4</v>
      </c>
      <c r="AC56" s="64">
        <f>$AA56*'FZ-CZ'!J30</f>
        <v>0</v>
      </c>
      <c r="AD56" s="64">
        <f>$AA56*'FZ-CZ'!K30</f>
        <v>0</v>
      </c>
      <c r="AE56" s="64">
        <f>$AA56*'FZ-CZ'!L30</f>
        <v>0</v>
      </c>
      <c r="AF56" s="64">
        <f>$AA56*'FZ-CZ'!M30</f>
        <v>0</v>
      </c>
      <c r="AG56" s="64">
        <f>$AA56*'FZ-CZ'!N30</f>
        <v>0</v>
      </c>
      <c r="AH56" s="64">
        <f>$AA56*'FZ-CZ'!O30</f>
        <v>0</v>
      </c>
      <c r="AI56" s="64">
        <f>$AA56*'FZ-CZ'!P30</f>
        <v>0</v>
      </c>
      <c r="AJ56" s="64">
        <f>$AA56*'FZ-CZ'!Q30</f>
        <v>0</v>
      </c>
      <c r="AK56" s="64">
        <f>$AA56*'FZ-CZ'!R30</f>
        <v>0</v>
      </c>
      <c r="AL56" s="64">
        <f>$AA56*'FZ-CZ'!S30</f>
        <v>2.29685049744286E-5</v>
      </c>
      <c r="AM56" s="64">
        <f>$AA56*'FZ-CZ'!T30</f>
        <v>0</v>
      </c>
      <c r="AN56" s="64">
        <f>$AA56*'FZ-CZ'!U30</f>
        <v>0</v>
      </c>
      <c r="AO56" s="64">
        <f>$AA56*'FZ-CZ'!V30</f>
        <v>7.0672322998241844E-8</v>
      </c>
      <c r="AP56" s="64">
        <f>$AA56*'FZ-CZ'!W30</f>
        <v>1.7325319983018991E-4</v>
      </c>
      <c r="AQ56" s="64">
        <f>$AA56*'FZ-CZ'!X30</f>
        <v>4.2734846993806863E-3</v>
      </c>
    </row>
    <row r="57" spans="26:43">
      <c r="Z57" s="23" t="s">
        <v>210</v>
      </c>
      <c r="AA57" s="44">
        <f>X4</f>
        <v>8.1065102686722016E-3</v>
      </c>
      <c r="AB57" s="64">
        <f>$AA57*'FZ-CZ'!I31</f>
        <v>0</v>
      </c>
      <c r="AC57" s="64">
        <f>$AA57*'FZ-CZ'!J31</f>
        <v>0</v>
      </c>
      <c r="AD57" s="64">
        <f>$AA57*'FZ-CZ'!K31</f>
        <v>4.2505402384715703E-3</v>
      </c>
      <c r="AE57" s="64">
        <f>$AA57*'FZ-CZ'!L31</f>
        <v>2.4634128096804164E-3</v>
      </c>
      <c r="AF57" s="64">
        <f>$AA57*'FZ-CZ'!M31</f>
        <v>0</v>
      </c>
      <c r="AG57" s="64">
        <f>$AA57*'FZ-CZ'!N31</f>
        <v>0</v>
      </c>
      <c r="AH57" s="64">
        <f>$AA57*'FZ-CZ'!O31</f>
        <v>0</v>
      </c>
      <c r="AI57" s="64">
        <f>$AA57*'FZ-CZ'!P31</f>
        <v>0</v>
      </c>
      <c r="AJ57" s="64">
        <f>$AA57*'FZ-CZ'!Q31</f>
        <v>0</v>
      </c>
      <c r="AK57" s="64">
        <f>$AA57*'FZ-CZ'!R31</f>
        <v>0</v>
      </c>
      <c r="AL57" s="64">
        <f>$AA57*'FZ-CZ'!S31</f>
        <v>0</v>
      </c>
      <c r="AM57" s="64">
        <f>$AA57*'FZ-CZ'!T31</f>
        <v>1.3925572205202149E-3</v>
      </c>
      <c r="AN57" s="64">
        <f>$AA57*'FZ-CZ'!U31</f>
        <v>0</v>
      </c>
      <c r="AO57" s="64">
        <f>$AA57*'FZ-CZ'!V31</f>
        <v>0</v>
      </c>
      <c r="AP57" s="64">
        <f>$AA57*'FZ-CZ'!W31</f>
        <v>0</v>
      </c>
      <c r="AQ57" s="64">
        <f>$AA57*'FZ-CZ'!X31</f>
        <v>0</v>
      </c>
    </row>
    <row r="58" spans="26:43">
      <c r="Z58" s="23" t="s">
        <v>211</v>
      </c>
      <c r="AA58" s="44">
        <f t="shared" ref="AA58:AA66" si="7">X5</f>
        <v>5.738688404380525E-2</v>
      </c>
      <c r="AB58" s="64">
        <f>$AA58*'FZ-CZ'!I32</f>
        <v>7.753787975971144E-3</v>
      </c>
      <c r="AC58" s="64">
        <f>$AA58*'FZ-CZ'!J32</f>
        <v>4.6023157403829722E-2</v>
      </c>
      <c r="AD58" s="64">
        <f>$AA58*'FZ-CZ'!K32</f>
        <v>3.6067626921232054E-3</v>
      </c>
      <c r="AE58" s="64">
        <f>$AA58*'FZ-CZ'!L32</f>
        <v>0</v>
      </c>
      <c r="AF58" s="64">
        <f>$AA58*'FZ-CZ'!M32</f>
        <v>0</v>
      </c>
      <c r="AG58" s="64">
        <f>$AA58*'FZ-CZ'!N32</f>
        <v>0</v>
      </c>
      <c r="AH58" s="64">
        <f>$AA58*'FZ-CZ'!O32</f>
        <v>0</v>
      </c>
      <c r="AI58" s="64">
        <f>$AA58*'FZ-CZ'!P32</f>
        <v>0</v>
      </c>
      <c r="AJ58" s="64">
        <f>$AA58*'FZ-CZ'!Q32</f>
        <v>0</v>
      </c>
      <c r="AK58" s="64">
        <f>$AA58*'FZ-CZ'!R32</f>
        <v>0</v>
      </c>
      <c r="AL58" s="64">
        <f>$AA58*'FZ-CZ'!S32</f>
        <v>0</v>
      </c>
      <c r="AM58" s="64">
        <f>$AA58*'FZ-CZ'!T32</f>
        <v>0</v>
      </c>
      <c r="AN58" s="64">
        <f>$AA58*'FZ-CZ'!U32</f>
        <v>0</v>
      </c>
      <c r="AO58" s="64">
        <f>$AA58*'FZ-CZ'!V32</f>
        <v>0</v>
      </c>
      <c r="AP58" s="64">
        <f>$AA58*'FZ-CZ'!W32</f>
        <v>0</v>
      </c>
      <c r="AQ58" s="64">
        <f>$AA58*'FZ-CZ'!X32</f>
        <v>3.1759718811778203E-6</v>
      </c>
    </row>
    <row r="59" spans="26:43">
      <c r="Z59" s="23" t="s">
        <v>212</v>
      </c>
      <c r="AA59" s="44">
        <f t="shared" si="7"/>
        <v>7.3132514392905273E-2</v>
      </c>
      <c r="AB59" s="64">
        <f>$AA59*'FZ-CZ'!I33</f>
        <v>0</v>
      </c>
      <c r="AC59" s="64">
        <f>$AA59*'FZ-CZ'!J33</f>
        <v>0</v>
      </c>
      <c r="AD59" s="64">
        <f>$AA59*'FZ-CZ'!K33</f>
        <v>0</v>
      </c>
      <c r="AE59" s="64">
        <f>$AA59*'FZ-CZ'!L33</f>
        <v>0</v>
      </c>
      <c r="AF59" s="64">
        <f>$AA59*'FZ-CZ'!M33</f>
        <v>0</v>
      </c>
      <c r="AG59" s="64">
        <f>$AA59*'FZ-CZ'!N33</f>
        <v>0</v>
      </c>
      <c r="AH59" s="64">
        <f>$AA59*'FZ-CZ'!O33</f>
        <v>0</v>
      </c>
      <c r="AI59" s="64">
        <f>$AA59*'FZ-CZ'!P33</f>
        <v>0</v>
      </c>
      <c r="AJ59" s="64">
        <f>$AA59*'FZ-CZ'!Q33</f>
        <v>0</v>
      </c>
      <c r="AK59" s="64">
        <f>$AA59*'FZ-CZ'!R33</f>
        <v>0</v>
      </c>
      <c r="AL59" s="64">
        <f>$AA59*'FZ-CZ'!S33</f>
        <v>6.1996133173269914E-2</v>
      </c>
      <c r="AM59" s="64">
        <f>$AA59*'FZ-CZ'!T33</f>
        <v>0</v>
      </c>
      <c r="AN59" s="64">
        <f>$AA59*'FZ-CZ'!U33</f>
        <v>0</v>
      </c>
      <c r="AO59" s="64">
        <f>$AA59*'FZ-CZ'!V33</f>
        <v>0</v>
      </c>
      <c r="AP59" s="64">
        <f>$AA59*'FZ-CZ'!W33</f>
        <v>0</v>
      </c>
      <c r="AQ59" s="64">
        <f>$AA59*'FZ-CZ'!X33</f>
        <v>1.1136381219635354E-2</v>
      </c>
    </row>
    <row r="60" spans="26:43">
      <c r="Z60" s="23" t="s">
        <v>213</v>
      </c>
      <c r="AA60" s="44">
        <f t="shared" si="7"/>
        <v>7.3132514392905273E-2</v>
      </c>
      <c r="AB60" s="64">
        <f>$AA60*'FZ-CZ'!I34</f>
        <v>0</v>
      </c>
      <c r="AC60" s="64">
        <f>$AA60*'FZ-CZ'!J34</f>
        <v>0</v>
      </c>
      <c r="AD60" s="64">
        <f>$AA60*'FZ-CZ'!K34</f>
        <v>2.660723315019558E-3</v>
      </c>
      <c r="AE60" s="64">
        <f>$AA60*'FZ-CZ'!L34</f>
        <v>0</v>
      </c>
      <c r="AF60" s="64">
        <f>$AA60*'FZ-CZ'!M34</f>
        <v>0</v>
      </c>
      <c r="AG60" s="64">
        <f>$AA60*'FZ-CZ'!N34</f>
        <v>0</v>
      </c>
      <c r="AH60" s="64">
        <f>$AA60*'FZ-CZ'!O34</f>
        <v>0</v>
      </c>
      <c r="AI60" s="64">
        <f>$AA60*'FZ-CZ'!P34</f>
        <v>0</v>
      </c>
      <c r="AJ60" s="64">
        <f>$AA60*'FZ-CZ'!Q34</f>
        <v>0</v>
      </c>
      <c r="AK60" s="64">
        <f>$AA60*'FZ-CZ'!R34</f>
        <v>0</v>
      </c>
      <c r="AL60" s="64">
        <f>$AA60*'FZ-CZ'!S34</f>
        <v>1.6141496483698232E-2</v>
      </c>
      <c r="AM60" s="64">
        <f>$AA60*'FZ-CZ'!T34</f>
        <v>5.3098290139702742E-2</v>
      </c>
      <c r="AN60" s="64">
        <f>$AA60*'FZ-CZ'!U34</f>
        <v>0</v>
      </c>
      <c r="AO60" s="64">
        <f>$AA60*'FZ-CZ'!V34</f>
        <v>0</v>
      </c>
      <c r="AP60" s="64">
        <f>$AA60*'FZ-CZ'!W34</f>
        <v>0</v>
      </c>
      <c r="AQ60" s="64">
        <f>$AA60*'FZ-CZ'!X34</f>
        <v>1.2320044544847459E-3</v>
      </c>
    </row>
    <row r="61" spans="26:43">
      <c r="Z61" s="23" t="s">
        <v>214</v>
      </c>
      <c r="AA61" s="44">
        <f t="shared" si="7"/>
        <v>5.4442424021695609E-3</v>
      </c>
      <c r="AB61" s="64">
        <f>$AA61*'FZ-CZ'!I35</f>
        <v>0</v>
      </c>
      <c r="AC61" s="64">
        <f>$AA61*'FZ-CZ'!J35</f>
        <v>0</v>
      </c>
      <c r="AD61" s="64">
        <f>$AA61*'FZ-CZ'!K35</f>
        <v>0</v>
      </c>
      <c r="AE61" s="64">
        <f>$AA61*'FZ-CZ'!L35</f>
        <v>0</v>
      </c>
      <c r="AF61" s="64">
        <f>$AA61*'FZ-CZ'!M35</f>
        <v>0</v>
      </c>
      <c r="AG61" s="64">
        <f>$AA61*'FZ-CZ'!N35</f>
        <v>0</v>
      </c>
      <c r="AH61" s="64">
        <f>$AA61*'FZ-CZ'!O35</f>
        <v>0</v>
      </c>
      <c r="AI61" s="64">
        <f>$AA61*'FZ-CZ'!P35</f>
        <v>0</v>
      </c>
      <c r="AJ61" s="64">
        <f>$AA61*'FZ-CZ'!Q35</f>
        <v>0</v>
      </c>
      <c r="AK61" s="64">
        <f>$AA61*'FZ-CZ'!R35</f>
        <v>0</v>
      </c>
      <c r="AL61" s="64">
        <f>$AA61*'FZ-CZ'!S35</f>
        <v>0</v>
      </c>
      <c r="AM61" s="64">
        <f>$AA61*'FZ-CZ'!T35</f>
        <v>2.4796772671665797E-4</v>
      </c>
      <c r="AN61" s="64">
        <f>$AA61*'FZ-CZ'!U35</f>
        <v>5.1614592208429084E-3</v>
      </c>
      <c r="AO61" s="64">
        <f>$AA61*'FZ-CZ'!V35</f>
        <v>0</v>
      </c>
      <c r="AP61" s="64">
        <f>$AA61*'FZ-CZ'!W35</f>
        <v>0</v>
      </c>
      <c r="AQ61" s="64">
        <f>$AA61*'FZ-CZ'!X35</f>
        <v>3.4815454609994334E-5</v>
      </c>
    </row>
    <row r="62" spans="26:43">
      <c r="Z62" s="23" t="s">
        <v>215</v>
      </c>
      <c r="AA62" s="44">
        <f t="shared" si="7"/>
        <v>1.8620214057104439E-3</v>
      </c>
      <c r="AB62" s="64">
        <f>$AA62*'FZ-CZ'!I36</f>
        <v>0</v>
      </c>
      <c r="AC62" s="64">
        <f>$AA62*'FZ-CZ'!J36</f>
        <v>0</v>
      </c>
      <c r="AD62" s="64">
        <f>$AA62*'FZ-CZ'!K36</f>
        <v>9.7313434406004777E-4</v>
      </c>
      <c r="AE62" s="64">
        <f>$AA62*'FZ-CZ'!L36</f>
        <v>2.8658109115534949E-4</v>
      </c>
      <c r="AF62" s="64">
        <f>$AA62*'FZ-CZ'!M36</f>
        <v>6.0208223240944508E-4</v>
      </c>
      <c r="AG62" s="64">
        <f>$AA62*'FZ-CZ'!N36</f>
        <v>2.2373808560158255E-7</v>
      </c>
      <c r="AH62" s="64">
        <f>$AA62*'FZ-CZ'!O36</f>
        <v>0</v>
      </c>
      <c r="AI62" s="64">
        <f>$AA62*'FZ-CZ'!P36</f>
        <v>0</v>
      </c>
      <c r="AJ62" s="64">
        <f>$AA62*'FZ-CZ'!Q36</f>
        <v>0</v>
      </c>
      <c r="AK62" s="64">
        <f>$AA62*'FZ-CZ'!R36</f>
        <v>0</v>
      </c>
      <c r="AL62" s="64">
        <f>$AA62*'FZ-CZ'!S36</f>
        <v>0</v>
      </c>
      <c r="AM62" s="64">
        <f>$AA62*'FZ-CZ'!T36</f>
        <v>0</v>
      </c>
      <c r="AN62" s="64">
        <f>$AA62*'FZ-CZ'!U36</f>
        <v>0</v>
      </c>
      <c r="AO62" s="64">
        <f>$AA62*'FZ-CZ'!V36</f>
        <v>0</v>
      </c>
      <c r="AP62" s="64">
        <f>$AA62*'FZ-CZ'!W36</f>
        <v>0</v>
      </c>
      <c r="AQ62" s="64">
        <f>$AA62*'FZ-CZ'!X36</f>
        <v>0</v>
      </c>
    </row>
    <row r="63" spans="26:43">
      <c r="Z63" s="24" t="s">
        <v>216</v>
      </c>
      <c r="AA63" s="44">
        <f t="shared" si="7"/>
        <v>0</v>
      </c>
      <c r="AB63" s="64">
        <f>$AA63*'FZ-CZ'!I37</f>
        <v>0</v>
      </c>
      <c r="AC63" s="64">
        <f>$AA63*'FZ-CZ'!J37</f>
        <v>0</v>
      </c>
      <c r="AD63" s="64">
        <f>$AA63*'FZ-CZ'!K37</f>
        <v>0</v>
      </c>
      <c r="AE63" s="64">
        <f>$AA63*'FZ-CZ'!L37</f>
        <v>0</v>
      </c>
      <c r="AF63" s="64">
        <f>$AA63*'FZ-CZ'!M37</f>
        <v>0</v>
      </c>
      <c r="AG63" s="64">
        <f>$AA63*'FZ-CZ'!N37</f>
        <v>0</v>
      </c>
      <c r="AH63" s="64">
        <f>$AA63*'FZ-CZ'!O37</f>
        <v>0</v>
      </c>
      <c r="AI63" s="64">
        <f>$AA63*'FZ-CZ'!P37</f>
        <v>0</v>
      </c>
      <c r="AJ63" s="64">
        <f>$AA63*'FZ-CZ'!Q37</f>
        <v>0</v>
      </c>
      <c r="AK63" s="64">
        <f>$AA63*'FZ-CZ'!R37</f>
        <v>0</v>
      </c>
      <c r="AL63" s="64">
        <f>$AA63*'FZ-CZ'!S37</f>
        <v>0</v>
      </c>
      <c r="AM63" s="64">
        <f>$AA63*'FZ-CZ'!T37</f>
        <v>0</v>
      </c>
      <c r="AN63" s="64">
        <f>$AA63*'FZ-CZ'!U37</f>
        <v>0</v>
      </c>
      <c r="AO63" s="64">
        <f>$AA63*'FZ-CZ'!V37</f>
        <v>0</v>
      </c>
      <c r="AP63" s="64">
        <f>$AA63*'FZ-CZ'!W37</f>
        <v>0</v>
      </c>
      <c r="AQ63" s="64">
        <f>$AA63*'FZ-CZ'!X37</f>
        <v>0</v>
      </c>
    </row>
    <row r="64" spans="26:43">
      <c r="Z64" s="24" t="s">
        <v>217</v>
      </c>
      <c r="AA64" s="44">
        <f t="shared" si="7"/>
        <v>0</v>
      </c>
      <c r="AB64" s="64">
        <f>$AA64*'FZ-CZ'!I38</f>
        <v>0</v>
      </c>
      <c r="AC64" s="64">
        <f>$AA64*'FZ-CZ'!J38</f>
        <v>0</v>
      </c>
      <c r="AD64" s="64">
        <f>$AA64*'FZ-CZ'!K38</f>
        <v>0</v>
      </c>
      <c r="AE64" s="64">
        <f>$AA64*'FZ-CZ'!L38</f>
        <v>0</v>
      </c>
      <c r="AF64" s="64">
        <f>$AA64*'FZ-CZ'!M38</f>
        <v>0</v>
      </c>
      <c r="AG64" s="64">
        <f>$AA64*'FZ-CZ'!N38</f>
        <v>0</v>
      </c>
      <c r="AH64" s="64">
        <f>$AA64*'FZ-CZ'!O38</f>
        <v>0</v>
      </c>
      <c r="AI64" s="64">
        <f>$AA64*'FZ-CZ'!P38</f>
        <v>0</v>
      </c>
      <c r="AJ64" s="64">
        <f>$AA64*'FZ-CZ'!Q38</f>
        <v>0</v>
      </c>
      <c r="AK64" s="64">
        <f>$AA64*'FZ-CZ'!R38</f>
        <v>0</v>
      </c>
      <c r="AL64" s="64">
        <f>$AA64*'FZ-CZ'!S38</f>
        <v>0</v>
      </c>
      <c r="AM64" s="64">
        <f>$AA64*'FZ-CZ'!T38</f>
        <v>0</v>
      </c>
      <c r="AN64" s="64">
        <f>$AA64*'FZ-CZ'!U38</f>
        <v>0</v>
      </c>
      <c r="AO64" s="64">
        <f>$AA64*'FZ-CZ'!V38</f>
        <v>0</v>
      </c>
      <c r="AP64" s="64">
        <f>$AA64*'FZ-CZ'!W38</f>
        <v>0</v>
      </c>
      <c r="AQ64" s="64">
        <f>$AA64*'FZ-CZ'!X38</f>
        <v>0</v>
      </c>
    </row>
    <row r="65" spans="26:43">
      <c r="Z65" s="24" t="s">
        <v>218</v>
      </c>
      <c r="AA65" s="44">
        <f t="shared" si="7"/>
        <v>2.763374756120773E-2</v>
      </c>
      <c r="AB65" s="64">
        <f>$AA65*'FZ-CZ'!I39</f>
        <v>0</v>
      </c>
      <c r="AC65" s="64">
        <f>$AA65*'FZ-CZ'!J39</f>
        <v>0</v>
      </c>
      <c r="AD65" s="64">
        <f>$AA65*'FZ-CZ'!K39</f>
        <v>0</v>
      </c>
      <c r="AE65" s="64">
        <f>$AA65*'FZ-CZ'!L39</f>
        <v>0</v>
      </c>
      <c r="AF65" s="64">
        <f>$AA65*'FZ-CZ'!M39</f>
        <v>0</v>
      </c>
      <c r="AG65" s="64">
        <f>$AA65*'FZ-CZ'!N39</f>
        <v>0</v>
      </c>
      <c r="AH65" s="64">
        <f>$AA65*'FZ-CZ'!O39</f>
        <v>0</v>
      </c>
      <c r="AI65" s="64">
        <f>$AA65*'FZ-CZ'!P39</f>
        <v>0</v>
      </c>
      <c r="AJ65" s="64">
        <f>$AA65*'FZ-CZ'!Q39</f>
        <v>0</v>
      </c>
      <c r="AK65" s="64">
        <f>$AA65*'FZ-CZ'!R39</f>
        <v>0</v>
      </c>
      <c r="AL65" s="64">
        <f>$AA65*'FZ-CZ'!S39</f>
        <v>0</v>
      </c>
      <c r="AM65" s="64">
        <f>$AA65*'FZ-CZ'!T39</f>
        <v>0</v>
      </c>
      <c r="AN65" s="64">
        <f>$AA65*'FZ-CZ'!U39</f>
        <v>2.1688902110064971E-2</v>
      </c>
      <c r="AO65" s="64">
        <f>$AA65*'FZ-CZ'!V39</f>
        <v>3.3442066166029616E-3</v>
      </c>
      <c r="AP65" s="64">
        <f>$AA65*'FZ-CZ'!W39</f>
        <v>0</v>
      </c>
      <c r="AQ65" s="64">
        <f>$AA65*'FZ-CZ'!X39</f>
        <v>2.6006388345397964E-3</v>
      </c>
    </row>
    <row r="66" spans="26:43">
      <c r="Z66" s="24" t="s">
        <v>219</v>
      </c>
      <c r="AA66" s="44">
        <f t="shared" si="7"/>
        <v>0</v>
      </c>
      <c r="AB66" s="64">
        <f>$AA66*'FZ-CZ'!I40</f>
        <v>0</v>
      </c>
      <c r="AC66" s="64">
        <f>$AA66*'FZ-CZ'!J40</f>
        <v>0</v>
      </c>
      <c r="AD66" s="64">
        <f>$AA66*'FZ-CZ'!K40</f>
        <v>0</v>
      </c>
      <c r="AE66" s="64">
        <f>$AA66*'FZ-CZ'!L40</f>
        <v>0</v>
      </c>
      <c r="AF66" s="64">
        <f>$AA66*'FZ-CZ'!M40</f>
        <v>0</v>
      </c>
      <c r="AG66" s="64">
        <f>$AA66*'FZ-CZ'!N40</f>
        <v>0</v>
      </c>
      <c r="AH66" s="64">
        <f>$AA66*'FZ-CZ'!O40</f>
        <v>0</v>
      </c>
      <c r="AI66" s="64">
        <f>$AA66*'FZ-CZ'!P40</f>
        <v>0</v>
      </c>
      <c r="AJ66" s="64">
        <f>$AA66*'FZ-CZ'!Q40</f>
        <v>0</v>
      </c>
      <c r="AK66" s="64">
        <f>$AA66*'FZ-CZ'!R40</f>
        <v>0</v>
      </c>
      <c r="AL66" s="64">
        <f>$AA66*'FZ-CZ'!S40</f>
        <v>0</v>
      </c>
      <c r="AM66" s="64">
        <f>$AA66*'FZ-CZ'!T40</f>
        <v>0</v>
      </c>
      <c r="AN66" s="64">
        <f>$AA66*'FZ-CZ'!U40</f>
        <v>0</v>
      </c>
      <c r="AO66" s="64">
        <f>$AA66*'FZ-CZ'!V40</f>
        <v>0</v>
      </c>
      <c r="AP66" s="64">
        <f>$AA66*'FZ-CZ'!W40</f>
        <v>0</v>
      </c>
      <c r="AQ66" s="64">
        <f>$AA66*'FZ-CZ'!X40</f>
        <v>0</v>
      </c>
    </row>
    <row r="67" spans="26:43">
      <c r="Z67" s="24" t="s">
        <v>220</v>
      </c>
      <c r="AA67" s="44">
        <f>X14</f>
        <v>7.0259434871968781E-3</v>
      </c>
      <c r="AB67" s="64">
        <f>$AA67*'FZ-CZ'!I41</f>
        <v>0</v>
      </c>
      <c r="AC67" s="64">
        <f>$AA67*'FZ-CZ'!J41</f>
        <v>0</v>
      </c>
      <c r="AD67" s="64">
        <f>$AA67*'FZ-CZ'!K41</f>
        <v>0</v>
      </c>
      <c r="AE67" s="64">
        <f>$AA67*'FZ-CZ'!L41</f>
        <v>0</v>
      </c>
      <c r="AF67" s="64">
        <f>$AA67*'FZ-CZ'!M41</f>
        <v>0</v>
      </c>
      <c r="AG67" s="64">
        <f>$AA67*'FZ-CZ'!N41</f>
        <v>0</v>
      </c>
      <c r="AH67" s="64">
        <f>$AA67*'FZ-CZ'!O41</f>
        <v>0</v>
      </c>
      <c r="AI67" s="64">
        <f>$AA67*'FZ-CZ'!P41</f>
        <v>0</v>
      </c>
      <c r="AJ67" s="64">
        <f>$AA67*'FZ-CZ'!Q41</f>
        <v>0</v>
      </c>
      <c r="AK67" s="64">
        <f>$AA67*'FZ-CZ'!R41</f>
        <v>6.0499991042897638E-3</v>
      </c>
      <c r="AL67" s="64">
        <f>$AA67*'FZ-CZ'!S41</f>
        <v>0</v>
      </c>
      <c r="AM67" s="64">
        <f>$AA67*'FZ-CZ'!T41</f>
        <v>0</v>
      </c>
      <c r="AN67" s="64">
        <f>$AA67*'FZ-CZ'!U41</f>
        <v>0</v>
      </c>
      <c r="AO67" s="64">
        <f>$AA67*'FZ-CZ'!V41</f>
        <v>1.7775534351121689E-8</v>
      </c>
      <c r="AP67" s="64">
        <f>$AA67*'FZ-CZ'!W41</f>
        <v>9.368986441514412E-4</v>
      </c>
      <c r="AQ67" s="64">
        <f>$AA67*'FZ-CZ'!X41</f>
        <v>3.9027963221322782E-5</v>
      </c>
    </row>
    <row r="68" spans="26:43">
      <c r="Z68" s="24" t="s">
        <v>222</v>
      </c>
      <c r="AA68" s="44">
        <f>(X15+X16)/2</f>
        <v>1.7370984543092693E-3</v>
      </c>
      <c r="AB68" s="64">
        <f>$AA68*'FZ-CZ'!I42</f>
        <v>0</v>
      </c>
      <c r="AC68" s="64">
        <f>$AA68*'FZ-CZ'!J42</f>
        <v>0</v>
      </c>
      <c r="AD68" s="64">
        <f>$AA68*'FZ-CZ'!K42</f>
        <v>0</v>
      </c>
      <c r="AE68" s="64">
        <f>$AA68*'FZ-CZ'!L42</f>
        <v>0</v>
      </c>
      <c r="AF68" s="64">
        <f>$AA68*'FZ-CZ'!M42</f>
        <v>0</v>
      </c>
      <c r="AG68" s="64">
        <f>$AA68*'FZ-CZ'!N42</f>
        <v>1.1457065619310237E-4</v>
      </c>
      <c r="AH68" s="64">
        <f>$AA68*'FZ-CZ'!O42</f>
        <v>1.0910323747141749E-3</v>
      </c>
      <c r="AI68" s="64">
        <f>$AA68*'FZ-CZ'!P42</f>
        <v>3.3666196538829271E-5</v>
      </c>
      <c r="AJ68" s="64">
        <f>$AA68*'FZ-CZ'!Q42</f>
        <v>0</v>
      </c>
      <c r="AK68" s="64">
        <f>$AA68*'FZ-CZ'!R42</f>
        <v>4.8430449991822283E-4</v>
      </c>
      <c r="AL68" s="64">
        <f>$AA68*'FZ-CZ'!S42</f>
        <v>0</v>
      </c>
      <c r="AM68" s="64">
        <f>$AA68*'FZ-CZ'!T42</f>
        <v>0</v>
      </c>
      <c r="AN68" s="64">
        <f>$AA68*'FZ-CZ'!U42</f>
        <v>0</v>
      </c>
      <c r="AO68" s="64">
        <f>$AA68*'FZ-CZ'!V42</f>
        <v>1.150404505813511E-5</v>
      </c>
      <c r="AP68" s="64">
        <f>$AA68*'FZ-CZ'!W42</f>
        <v>2.020681886804875E-6</v>
      </c>
      <c r="AQ68" s="64">
        <f>$AA68*'FZ-CZ'!X42</f>
        <v>0</v>
      </c>
    </row>
    <row r="69" spans="26:43">
      <c r="Z69" s="24" t="s">
        <v>224</v>
      </c>
      <c r="AA69" s="44">
        <f>X17</f>
        <v>0</v>
      </c>
      <c r="AB69" s="64">
        <f>$AA69*'FZ-CZ'!I43</f>
        <v>0</v>
      </c>
      <c r="AC69" s="64">
        <f>$AA69*'FZ-CZ'!J43</f>
        <v>0</v>
      </c>
      <c r="AD69" s="64">
        <f>$AA69*'FZ-CZ'!K43</f>
        <v>0</v>
      </c>
      <c r="AE69" s="64">
        <f>$AA69*'FZ-CZ'!L43</f>
        <v>0</v>
      </c>
      <c r="AF69" s="64">
        <f>$AA69*'FZ-CZ'!M43</f>
        <v>0</v>
      </c>
      <c r="AG69" s="64">
        <f>$AA69*'FZ-CZ'!N43</f>
        <v>0</v>
      </c>
      <c r="AH69" s="64">
        <f>$AA69*'FZ-CZ'!O43</f>
        <v>0</v>
      </c>
      <c r="AI69" s="64">
        <f>$AA69*'FZ-CZ'!P43</f>
        <v>0</v>
      </c>
      <c r="AJ69" s="64">
        <f>$AA69*'FZ-CZ'!Q43</f>
        <v>0</v>
      </c>
      <c r="AK69" s="64">
        <f>$AA69*'FZ-CZ'!R43</f>
        <v>0</v>
      </c>
      <c r="AL69" s="64">
        <f>$AA69*'FZ-CZ'!S43</f>
        <v>0</v>
      </c>
      <c r="AM69" s="64">
        <f>$AA69*'FZ-CZ'!T43</f>
        <v>0</v>
      </c>
      <c r="AN69" s="64">
        <f>$AA69*'FZ-CZ'!U43</f>
        <v>0</v>
      </c>
      <c r="AO69" s="64">
        <f>$AA69*'FZ-CZ'!V43</f>
        <v>0</v>
      </c>
      <c r="AP69" s="64">
        <f>$AA69*'FZ-CZ'!W43</f>
        <v>0</v>
      </c>
      <c r="AQ69" s="64">
        <f>$AA69*'FZ-CZ'!X43</f>
        <v>0</v>
      </c>
    </row>
    <row r="70" spans="26:43">
      <c r="Z70" s="24" t="s">
        <v>225</v>
      </c>
      <c r="AA70" s="44">
        <f>AA61</f>
        <v>5.4442424021695609E-3</v>
      </c>
      <c r="AB70" s="64">
        <f>$AA70*'FZ-CZ'!I44</f>
        <v>0</v>
      </c>
      <c r="AC70" s="64">
        <f>$AA70*'FZ-CZ'!J44</f>
        <v>0</v>
      </c>
      <c r="AD70" s="64">
        <f>$AA70*'FZ-CZ'!K44</f>
        <v>0</v>
      </c>
      <c r="AE70" s="64">
        <f>$AA70*'FZ-CZ'!L44</f>
        <v>0</v>
      </c>
      <c r="AF70" s="64">
        <f>$AA70*'FZ-CZ'!M44</f>
        <v>0</v>
      </c>
      <c r="AG70" s="64">
        <f>$AA70*'FZ-CZ'!N44</f>
        <v>0</v>
      </c>
      <c r="AH70" s="64">
        <f>$AA70*'FZ-CZ'!O44</f>
        <v>0</v>
      </c>
      <c r="AI70" s="64">
        <f>$AA70*'FZ-CZ'!P44</f>
        <v>0</v>
      </c>
      <c r="AJ70" s="64">
        <f>$AA70*'FZ-CZ'!Q44</f>
        <v>0</v>
      </c>
      <c r="AK70" s="64">
        <f>$AA70*'FZ-CZ'!R44</f>
        <v>0</v>
      </c>
      <c r="AL70" s="64">
        <f>$AA70*'FZ-CZ'!S44</f>
        <v>0</v>
      </c>
      <c r="AM70" s="64">
        <f>$AA70*'FZ-CZ'!T44</f>
        <v>5.4442424021695609E-3</v>
      </c>
      <c r="AN70" s="64">
        <f>$AA70*'FZ-CZ'!U44</f>
        <v>0</v>
      </c>
      <c r="AO70" s="64">
        <f>$AA70*'FZ-CZ'!V44</f>
        <v>0</v>
      </c>
      <c r="AP70" s="64">
        <f>$AA70*'FZ-CZ'!W44</f>
        <v>0</v>
      </c>
      <c r="AQ70" s="64">
        <f>$AA70*'FZ-CZ'!X44</f>
        <v>0</v>
      </c>
    </row>
    <row r="71" spans="26:43">
      <c r="Z71" s="24" t="s">
        <v>227</v>
      </c>
      <c r="AA71" s="44">
        <f>AA61</f>
        <v>5.4442424021695609E-3</v>
      </c>
      <c r="AB71" s="64">
        <f>$AA71*'FZ-CZ'!I45</f>
        <v>0</v>
      </c>
      <c r="AC71" s="64">
        <f>$AA71*'FZ-CZ'!J45</f>
        <v>1.0556132604233506E-5</v>
      </c>
      <c r="AD71" s="64">
        <f>$AA71*'FZ-CZ'!K45</f>
        <v>0</v>
      </c>
      <c r="AE71" s="64">
        <f>$AA71*'FZ-CZ'!L45</f>
        <v>0</v>
      </c>
      <c r="AF71" s="64">
        <f>$AA71*'FZ-CZ'!M45</f>
        <v>0</v>
      </c>
      <c r="AG71" s="64">
        <f>$AA71*'FZ-CZ'!N45</f>
        <v>0</v>
      </c>
      <c r="AH71" s="64">
        <f>$AA71*'FZ-CZ'!O45</f>
        <v>0</v>
      </c>
      <c r="AI71" s="64">
        <f>$AA71*'FZ-CZ'!P45</f>
        <v>0</v>
      </c>
      <c r="AJ71" s="64">
        <f>$AA71*'FZ-CZ'!Q45</f>
        <v>0</v>
      </c>
      <c r="AK71" s="64">
        <f>$AA71*'FZ-CZ'!R45</f>
        <v>0</v>
      </c>
      <c r="AL71" s="64">
        <f>$AA71*'FZ-CZ'!S45</f>
        <v>2.4251663471017465E-3</v>
      </c>
      <c r="AM71" s="64">
        <f>$AA71*'FZ-CZ'!T45</f>
        <v>2.8665432584751948E-3</v>
      </c>
      <c r="AN71" s="64">
        <f>$AA71*'FZ-CZ'!U45</f>
        <v>0</v>
      </c>
      <c r="AO71" s="64">
        <f>$AA71*'FZ-CZ'!V45</f>
        <v>0</v>
      </c>
      <c r="AP71" s="64">
        <f>$AA71*'FZ-CZ'!W45</f>
        <v>0</v>
      </c>
      <c r="AQ71" s="64">
        <f>$AA71*'FZ-CZ'!X45</f>
        <v>1.4197666398838585E-4</v>
      </c>
    </row>
    <row r="72" spans="26:43">
      <c r="Z72" s="24" t="s">
        <v>226</v>
      </c>
      <c r="AA72" s="44">
        <f>X18</f>
        <v>0</v>
      </c>
      <c r="AB72" s="64">
        <f>$AA72*'FZ-CZ'!I46</f>
        <v>0</v>
      </c>
      <c r="AC72" s="64">
        <f>$AA72*'FZ-CZ'!J46</f>
        <v>0</v>
      </c>
      <c r="AD72" s="64">
        <f>$AA72*'FZ-CZ'!K46</f>
        <v>0</v>
      </c>
      <c r="AE72" s="64">
        <f>$AA72*'FZ-CZ'!L46</f>
        <v>0</v>
      </c>
      <c r="AF72" s="64">
        <f>$AA72*'FZ-CZ'!M46</f>
        <v>0</v>
      </c>
      <c r="AG72" s="64">
        <f>$AA72*'FZ-CZ'!N46</f>
        <v>0</v>
      </c>
      <c r="AH72" s="64">
        <f>$AA72*'FZ-CZ'!O46</f>
        <v>0</v>
      </c>
      <c r="AI72" s="64">
        <f>$AA72*'FZ-CZ'!P46</f>
        <v>0</v>
      </c>
      <c r="AJ72" s="64">
        <f>$AA72*'FZ-CZ'!Q46</f>
        <v>0</v>
      </c>
      <c r="AK72" s="64">
        <f>$AA72*'FZ-CZ'!R46</f>
        <v>0</v>
      </c>
      <c r="AL72" s="64">
        <f>$AA72*'FZ-CZ'!S46</f>
        <v>0</v>
      </c>
      <c r="AM72" s="64">
        <f>$AA72*'FZ-CZ'!T46</f>
        <v>0</v>
      </c>
      <c r="AN72" s="64">
        <f>$AA72*'FZ-CZ'!U46</f>
        <v>0</v>
      </c>
      <c r="AO72" s="64">
        <f>$AA72*'FZ-CZ'!V46</f>
        <v>0</v>
      </c>
      <c r="AP72" s="64">
        <f>$AA72*'FZ-CZ'!W46</f>
        <v>0</v>
      </c>
      <c r="AQ72" s="64">
        <f>$AA72*'FZ-CZ'!X46</f>
        <v>0</v>
      </c>
    </row>
    <row r="73" spans="26:43">
      <c r="Z73" s="24" t="s">
        <v>228</v>
      </c>
      <c r="AA73" s="44">
        <f>X19</f>
        <v>0</v>
      </c>
      <c r="AB73" s="64">
        <f>$AA73*'FZ-CZ'!I47</f>
        <v>0</v>
      </c>
      <c r="AC73" s="64">
        <f>$AA73*'FZ-CZ'!J47</f>
        <v>0</v>
      </c>
      <c r="AD73" s="64">
        <f>$AA73*'FZ-CZ'!K47</f>
        <v>0</v>
      </c>
      <c r="AE73" s="64">
        <f>$AA73*'FZ-CZ'!L47</f>
        <v>0</v>
      </c>
      <c r="AF73" s="64">
        <f>$AA73*'FZ-CZ'!M47</f>
        <v>0</v>
      </c>
      <c r="AG73" s="64">
        <f>$AA73*'FZ-CZ'!N47</f>
        <v>0</v>
      </c>
      <c r="AH73" s="64">
        <f>$AA73*'FZ-CZ'!O47</f>
        <v>0</v>
      </c>
      <c r="AI73" s="64">
        <f>$AA73*'FZ-CZ'!P47</f>
        <v>0</v>
      </c>
      <c r="AJ73" s="64">
        <f>$AA73*'FZ-CZ'!Q47</f>
        <v>0</v>
      </c>
      <c r="AK73" s="64">
        <f>$AA73*'FZ-CZ'!R47</f>
        <v>0</v>
      </c>
      <c r="AL73" s="64">
        <f>$AA73*'FZ-CZ'!S47</f>
        <v>0</v>
      </c>
      <c r="AM73" s="64">
        <f>$AA73*'FZ-CZ'!T47</f>
        <v>0</v>
      </c>
      <c r="AN73" s="64">
        <f>$AA73*'FZ-CZ'!U47</f>
        <v>0</v>
      </c>
      <c r="AO73" s="64">
        <f>$AA73*'FZ-CZ'!V47</f>
        <v>0</v>
      </c>
      <c r="AP73" s="64">
        <f>$AA73*'FZ-CZ'!W47</f>
        <v>0</v>
      </c>
      <c r="AQ73" s="64">
        <f>$AA73*'FZ-CZ'!X47</f>
        <v>0</v>
      </c>
    </row>
    <row r="74" spans="26:43">
      <c r="Z74" s="24" t="s">
        <v>229</v>
      </c>
      <c r="AA74" s="44">
        <f>AA73</f>
        <v>0</v>
      </c>
      <c r="AB74" s="64">
        <f>$AA74*'FZ-CZ'!I48</f>
        <v>0</v>
      </c>
      <c r="AC74" s="64">
        <f>$AA74*'FZ-CZ'!J48</f>
        <v>0</v>
      </c>
      <c r="AD74" s="64">
        <f>$AA74*'FZ-CZ'!K48</f>
        <v>0</v>
      </c>
      <c r="AE74" s="64">
        <f>$AA74*'FZ-CZ'!L48</f>
        <v>0</v>
      </c>
      <c r="AF74" s="64">
        <f>$AA74*'FZ-CZ'!M48</f>
        <v>0</v>
      </c>
      <c r="AG74" s="64">
        <f>$AA74*'FZ-CZ'!N48</f>
        <v>0</v>
      </c>
      <c r="AH74" s="64">
        <f>$AA74*'FZ-CZ'!O48</f>
        <v>0</v>
      </c>
      <c r="AI74" s="64">
        <f>$AA74*'FZ-CZ'!P48</f>
        <v>0</v>
      </c>
      <c r="AJ74" s="64">
        <f>$AA74*'FZ-CZ'!Q48</f>
        <v>0</v>
      </c>
      <c r="AK74" s="64">
        <f>$AA74*'FZ-CZ'!R48</f>
        <v>0</v>
      </c>
      <c r="AL74" s="64">
        <f>$AA74*'FZ-CZ'!S48</f>
        <v>0</v>
      </c>
      <c r="AM74" s="64">
        <f>$AA74*'FZ-CZ'!T48</f>
        <v>0</v>
      </c>
      <c r="AN74" s="64">
        <f>$AA74*'FZ-CZ'!U48</f>
        <v>0</v>
      </c>
      <c r="AO74" s="64">
        <f>$AA74*'FZ-CZ'!V48</f>
        <v>0</v>
      </c>
      <c r="AP74" s="64">
        <f>$AA74*'FZ-CZ'!W48</f>
        <v>0</v>
      </c>
      <c r="AQ74" s="64">
        <f>$AA74*'FZ-CZ'!X48</f>
        <v>0</v>
      </c>
    </row>
    <row r="75" spans="26:43">
      <c r="Z75" s="24" t="s">
        <v>230</v>
      </c>
      <c r="AA75" s="44">
        <f>AA67</f>
        <v>7.0259434871968781E-3</v>
      </c>
      <c r="AB75" s="64">
        <f>$AA75*'FZ-CZ'!I49</f>
        <v>0</v>
      </c>
      <c r="AC75" s="64">
        <f>$AA75*'FZ-CZ'!J49</f>
        <v>0</v>
      </c>
      <c r="AD75" s="64">
        <f>$AA75*'FZ-CZ'!K49</f>
        <v>0</v>
      </c>
      <c r="AE75" s="64">
        <f>$AA75*'FZ-CZ'!L49</f>
        <v>0</v>
      </c>
      <c r="AF75" s="64">
        <f>$AA75*'FZ-CZ'!M49</f>
        <v>0</v>
      </c>
      <c r="AG75" s="64">
        <f>$AA75*'FZ-CZ'!N49</f>
        <v>0</v>
      </c>
      <c r="AH75" s="64">
        <f>$AA75*'FZ-CZ'!O49</f>
        <v>0</v>
      </c>
      <c r="AI75" s="64">
        <f>$AA75*'FZ-CZ'!P49</f>
        <v>0</v>
      </c>
      <c r="AJ75" s="64">
        <f>$AA75*'FZ-CZ'!Q49</f>
        <v>0</v>
      </c>
      <c r="AK75" s="64">
        <f>$AA75*'FZ-CZ'!R49</f>
        <v>0</v>
      </c>
      <c r="AL75" s="64">
        <f>$AA75*'FZ-CZ'!S49</f>
        <v>0</v>
      </c>
      <c r="AM75" s="64">
        <f>$AA75*'FZ-CZ'!T49</f>
        <v>0</v>
      </c>
      <c r="AN75" s="64">
        <f>$AA75*'FZ-CZ'!U49</f>
        <v>0</v>
      </c>
      <c r="AO75" s="64">
        <f>$AA75*'FZ-CZ'!V49</f>
        <v>1.7016922853659083E-6</v>
      </c>
      <c r="AP75" s="64">
        <f>$AA75*'FZ-CZ'!W49</f>
        <v>7.0242417949115121E-3</v>
      </c>
      <c r="AQ75" s="64">
        <f>$AA75*'FZ-CZ'!X49</f>
        <v>0</v>
      </c>
    </row>
    <row r="76" spans="26:43">
      <c r="Z76" s="24" t="s">
        <v>231</v>
      </c>
      <c r="AA76" s="44">
        <f>AA66</f>
        <v>0</v>
      </c>
      <c r="AB76" s="64">
        <f>$AA76*'FZ-CZ'!I50</f>
        <v>0</v>
      </c>
      <c r="AC76" s="64">
        <f>$AA76*'FZ-CZ'!J50</f>
        <v>0</v>
      </c>
      <c r="AD76" s="64">
        <f>$AA76*'FZ-CZ'!K50</f>
        <v>0</v>
      </c>
      <c r="AE76" s="64">
        <f>$AA76*'FZ-CZ'!L50</f>
        <v>0</v>
      </c>
      <c r="AF76" s="64">
        <f>$AA76*'FZ-CZ'!M50</f>
        <v>0</v>
      </c>
      <c r="AG76" s="64">
        <f>$AA76*'FZ-CZ'!N50</f>
        <v>0</v>
      </c>
      <c r="AH76" s="64">
        <f>$AA76*'FZ-CZ'!O50</f>
        <v>0</v>
      </c>
      <c r="AI76" s="64">
        <f>$AA76*'FZ-CZ'!P50</f>
        <v>0</v>
      </c>
      <c r="AJ76" s="64">
        <f>$AA76*'FZ-CZ'!Q50</f>
        <v>0</v>
      </c>
      <c r="AK76" s="64">
        <f>$AA76*'FZ-CZ'!R50</f>
        <v>0</v>
      </c>
      <c r="AL76" s="64">
        <f>$AA76*'FZ-CZ'!S50</f>
        <v>0</v>
      </c>
      <c r="AM76" s="64">
        <f>$AA76*'FZ-CZ'!T50</f>
        <v>0</v>
      </c>
      <c r="AN76" s="64">
        <f>$AA76*'FZ-CZ'!U50</f>
        <v>0</v>
      </c>
      <c r="AO76" s="64">
        <f>$AA76*'FZ-CZ'!V50</f>
        <v>0</v>
      </c>
      <c r="AP76" s="64">
        <f>$AA76*'FZ-CZ'!W50</f>
        <v>0</v>
      </c>
      <c r="AQ76" s="64">
        <f>$AA76*'FZ-CZ'!X50</f>
        <v>0</v>
      </c>
    </row>
    <row r="77" spans="26:43">
      <c r="Z77" s="24" t="s">
        <v>232</v>
      </c>
      <c r="AB77" s="65">
        <f t="shared" ref="AB77:AQ77" si="8">SUM(AB56:AB76)</f>
        <v>8.7282533016324014E-3</v>
      </c>
      <c r="AC77" s="65">
        <f t="shared" si="8"/>
        <v>4.6033713536433957E-2</v>
      </c>
      <c r="AD77" s="65">
        <f t="shared" si="8"/>
        <v>1.1491160589674381E-2</v>
      </c>
      <c r="AE77" s="65">
        <f t="shared" si="8"/>
        <v>2.7499939008357658E-3</v>
      </c>
      <c r="AF77" s="65">
        <f t="shared" si="8"/>
        <v>6.0208223240944508E-4</v>
      </c>
      <c r="AG77" s="65">
        <f t="shared" si="8"/>
        <v>1.1479439427870395E-4</v>
      </c>
      <c r="AH77" s="65">
        <f t="shared" si="8"/>
        <v>1.0910323747141749E-3</v>
      </c>
      <c r="AI77" s="65">
        <f t="shared" si="8"/>
        <v>3.3666196538829271E-5</v>
      </c>
      <c r="AJ77" s="65">
        <f t="shared" si="8"/>
        <v>0</v>
      </c>
      <c r="AK77" s="65">
        <f t="shared" si="8"/>
        <v>6.5343036042079866E-3</v>
      </c>
      <c r="AL77" s="65">
        <f t="shared" si="8"/>
        <v>8.0585764509044311E-2</v>
      </c>
      <c r="AM77" s="65">
        <f t="shared" si="8"/>
        <v>6.3049600747584381E-2</v>
      </c>
      <c r="AN77" s="65">
        <f t="shared" si="8"/>
        <v>2.6850361330907881E-2</v>
      </c>
      <c r="AO77" s="65">
        <f t="shared" si="8"/>
        <v>3.357500801803812E-3</v>
      </c>
      <c r="AP77" s="65">
        <f t="shared" si="8"/>
        <v>8.1364143207799475E-3</v>
      </c>
      <c r="AQ77" s="65">
        <f t="shared" si="8"/>
        <v>1.9461505261741469E-2</v>
      </c>
    </row>
    <row r="78" spans="26:43">
      <c r="Z78" s="48" t="s">
        <v>233</v>
      </c>
      <c r="AB78" s="137">
        <f>AB77/(AB24+AB50+AB77)</f>
        <v>3.100145694215484E-2</v>
      </c>
      <c r="AC78" s="137">
        <f t="shared" ref="AC78:AQ78" si="9">AC77/(AC24+AC50+AC77)</f>
        <v>6.6406737208481018E-2</v>
      </c>
      <c r="AD78" s="137">
        <f t="shared" si="9"/>
        <v>1.0946392967449189E-2</v>
      </c>
      <c r="AE78" s="137">
        <f t="shared" si="9"/>
        <v>6.5469761950820637E-3</v>
      </c>
      <c r="AF78" s="137">
        <f t="shared" si="9"/>
        <v>1.9984178176727175E-3</v>
      </c>
      <c r="AG78" s="137">
        <f t="shared" si="9"/>
        <v>1.2270797504002949E-4</v>
      </c>
      <c r="AH78" s="137">
        <f t="shared" si="9"/>
        <v>1.9529347594739587E-3</v>
      </c>
      <c r="AI78" s="137">
        <f t="shared" si="9"/>
        <v>5.2471990794081334E-5</v>
      </c>
      <c r="AJ78" s="137">
        <f t="shared" si="9"/>
        <v>0</v>
      </c>
      <c r="AK78" s="137">
        <f t="shared" si="9"/>
        <v>3.7507782869606321E-3</v>
      </c>
      <c r="AL78" s="137">
        <f t="shared" si="9"/>
        <v>5.8507207003522306E-2</v>
      </c>
      <c r="AM78" s="137">
        <f t="shared" si="9"/>
        <v>2.018830560283268E-2</v>
      </c>
      <c r="AN78" s="137">
        <f t="shared" si="9"/>
        <v>1.6613655571380233E-2</v>
      </c>
      <c r="AO78" s="137">
        <f t="shared" si="9"/>
        <v>8.744293208659196E-3</v>
      </c>
      <c r="AP78" s="137">
        <f t="shared" si="9"/>
        <v>7.1202382626967941E-3</v>
      </c>
      <c r="AQ78" s="137">
        <f t="shared" si="9"/>
        <v>9.8486711828521881E-3</v>
      </c>
    </row>
  </sheetData>
  <mergeCells count="5">
    <mergeCell ref="Z1:AQ1"/>
    <mergeCell ref="F1:H1"/>
    <mergeCell ref="J1:K1"/>
    <mergeCell ref="A1:A2"/>
    <mergeCell ref="B1:D1"/>
  </mergeCells>
  <phoneticPr fontId="9" type="noConversion"/>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D2282-E698-544A-917E-D05310FA0F6A}">
  <sheetPr>
    <tabColor rgb="FF00B050"/>
  </sheetPr>
  <dimension ref="A1:Q28"/>
  <sheetViews>
    <sheetView zoomScale="120" zoomScaleNormal="120" workbookViewId="0">
      <selection activeCell="D34" sqref="D34"/>
    </sheetView>
  </sheetViews>
  <sheetFormatPr defaultColWidth="8.85546875" defaultRowHeight="15"/>
  <cols>
    <col min="1" max="1" width="10.42578125" customWidth="1"/>
    <col min="2" max="2" width="12" customWidth="1"/>
    <col min="3" max="3" width="53.85546875" bestFit="1" customWidth="1"/>
    <col min="4" max="4" width="11.42578125" customWidth="1"/>
    <col min="5" max="5" width="11.42578125" bestFit="1" customWidth="1"/>
    <col min="6" max="6" width="62.42578125" customWidth="1"/>
  </cols>
  <sheetData>
    <row r="1" spans="1:17" s="3" customFormat="1">
      <c r="A1" s="464" t="s">
        <v>2</v>
      </c>
      <c r="B1" s="607"/>
      <c r="C1" s="608"/>
      <c r="D1" s="608"/>
      <c r="E1" s="608"/>
      <c r="F1" s="608"/>
      <c r="G1" s="608"/>
      <c r="H1" s="463"/>
      <c r="I1" s="463"/>
      <c r="J1" s="463"/>
      <c r="K1" s="463"/>
      <c r="L1" s="463"/>
      <c r="M1" s="463"/>
      <c r="N1" s="463"/>
      <c r="O1" s="463"/>
      <c r="P1" s="463"/>
      <c r="Q1" s="463"/>
    </row>
    <row r="3" spans="1:17">
      <c r="D3" s="440" t="s">
        <v>234</v>
      </c>
      <c r="E3" s="441" t="s">
        <v>111</v>
      </c>
      <c r="F3" s="441" t="s">
        <v>51</v>
      </c>
    </row>
    <row r="4" spans="1:17">
      <c r="A4" s="516" t="s">
        <v>235</v>
      </c>
      <c r="B4" s="519" t="s">
        <v>236</v>
      </c>
      <c r="C4" s="442" t="s">
        <v>237</v>
      </c>
      <c r="D4" s="440">
        <v>55</v>
      </c>
      <c r="E4" s="441">
        <f>CONVERT(10,"C","F")</f>
        <v>50</v>
      </c>
      <c r="F4" s="441"/>
    </row>
    <row r="5" spans="1:17">
      <c r="A5" s="517"/>
      <c r="B5" s="520"/>
      <c r="C5" s="443" t="s">
        <v>238</v>
      </c>
      <c r="D5" s="444">
        <v>8.0000000000000002E-3</v>
      </c>
      <c r="E5" s="445">
        <v>7.1999999999999998E-3</v>
      </c>
      <c r="F5" s="445"/>
    </row>
    <row r="6" spans="1:17">
      <c r="A6" s="517"/>
      <c r="B6" s="521" t="s">
        <v>239</v>
      </c>
      <c r="C6" t="s">
        <v>240</v>
      </c>
      <c r="D6" s="446" t="s">
        <v>241</v>
      </c>
      <c r="E6" s="447" t="s">
        <v>242</v>
      </c>
      <c r="F6" s="447"/>
    </row>
    <row r="7" spans="1:17">
      <c r="A7" s="517"/>
      <c r="B7" s="521"/>
      <c r="C7" t="s">
        <v>243</v>
      </c>
      <c r="D7" s="448">
        <v>4.6999999999999997E-5</v>
      </c>
      <c r="E7" s="449">
        <v>3.8899999999999997E-5</v>
      </c>
      <c r="F7" s="447"/>
    </row>
    <row r="8" spans="1:17">
      <c r="A8" s="517"/>
      <c r="B8" s="521"/>
      <c r="C8" t="s">
        <v>244</v>
      </c>
      <c r="D8" s="446">
        <v>130123</v>
      </c>
      <c r="E8" s="447">
        <v>140674</v>
      </c>
      <c r="F8" s="447"/>
    </row>
    <row r="9" spans="1:17">
      <c r="A9" s="517"/>
      <c r="B9" s="521"/>
      <c r="C9" t="s">
        <v>245</v>
      </c>
      <c r="D9" s="446">
        <v>37</v>
      </c>
      <c r="E9" s="447">
        <v>40</v>
      </c>
      <c r="F9" s="447"/>
    </row>
    <row r="10" spans="1:17">
      <c r="A10" s="518"/>
      <c r="B10" s="520"/>
      <c r="C10" s="443" t="s">
        <v>246</v>
      </c>
      <c r="D10" s="444" t="s">
        <v>247</v>
      </c>
      <c r="E10" s="445" t="s">
        <v>156</v>
      </c>
      <c r="F10" s="445"/>
    </row>
    <row r="11" spans="1:17">
      <c r="A11" s="517" t="s">
        <v>248</v>
      </c>
      <c r="B11" s="519" t="s">
        <v>249</v>
      </c>
      <c r="C11" s="442" t="s">
        <v>250</v>
      </c>
      <c r="D11" s="440">
        <v>2180</v>
      </c>
      <c r="E11" s="441" t="s">
        <v>36</v>
      </c>
      <c r="F11" s="441"/>
    </row>
    <row r="12" spans="1:17">
      <c r="A12" s="517"/>
      <c r="B12" s="521"/>
      <c r="C12" t="s">
        <v>251</v>
      </c>
      <c r="D12" s="446">
        <v>2.41</v>
      </c>
      <c r="E12" s="447" t="s">
        <v>36</v>
      </c>
      <c r="F12" s="447"/>
    </row>
    <row r="13" spans="1:17">
      <c r="A13" s="517"/>
      <c r="B13" s="521"/>
      <c r="C13" t="s">
        <v>252</v>
      </c>
      <c r="D13" s="446">
        <v>5.4</v>
      </c>
      <c r="E13" s="447" t="s">
        <v>36</v>
      </c>
      <c r="F13" s="447"/>
    </row>
    <row r="14" spans="1:17">
      <c r="A14" s="517"/>
      <c r="B14" s="521"/>
      <c r="C14" t="s">
        <v>253</v>
      </c>
      <c r="D14" s="446" t="s">
        <v>254</v>
      </c>
      <c r="E14" s="447" t="s">
        <v>36</v>
      </c>
      <c r="F14" s="447"/>
    </row>
    <row r="15" spans="1:17">
      <c r="A15" s="517"/>
      <c r="B15" s="521"/>
      <c r="C15" t="s">
        <v>255</v>
      </c>
      <c r="D15" s="446" t="s">
        <v>254</v>
      </c>
      <c r="E15" s="447" t="s">
        <v>36</v>
      </c>
      <c r="F15" s="447"/>
    </row>
    <row r="16" spans="1:17">
      <c r="A16" s="517"/>
      <c r="B16" s="521"/>
      <c r="C16" t="s">
        <v>256</v>
      </c>
      <c r="D16" s="446" t="s">
        <v>254</v>
      </c>
      <c r="E16" s="447" t="s">
        <v>36</v>
      </c>
      <c r="F16" s="447"/>
    </row>
    <row r="17" spans="1:6">
      <c r="A17" s="517"/>
      <c r="B17" s="521"/>
      <c r="C17" t="s">
        <v>257</v>
      </c>
      <c r="D17" s="446">
        <f>CONVERT(10,"C","F")</f>
        <v>50</v>
      </c>
      <c r="E17" s="447" t="s">
        <v>36</v>
      </c>
      <c r="F17" s="447" t="s">
        <v>258</v>
      </c>
    </row>
    <row r="18" spans="1:6">
      <c r="A18" s="517"/>
      <c r="B18" s="521"/>
      <c r="C18" t="s">
        <v>259</v>
      </c>
      <c r="D18" s="446">
        <v>90</v>
      </c>
      <c r="E18" s="447" t="s">
        <v>36</v>
      </c>
      <c r="F18" s="447" t="s">
        <v>258</v>
      </c>
    </row>
    <row r="19" spans="1:6">
      <c r="A19" s="517"/>
      <c r="B19" s="520"/>
      <c r="C19" s="443" t="s">
        <v>260</v>
      </c>
      <c r="D19" s="444">
        <v>0</v>
      </c>
      <c r="E19" s="445" t="s">
        <v>36</v>
      </c>
      <c r="F19" s="445"/>
    </row>
    <row r="20" spans="1:6">
      <c r="A20" s="517"/>
      <c r="B20" s="519" t="s">
        <v>261</v>
      </c>
      <c r="C20" s="442" t="s">
        <v>262</v>
      </c>
      <c r="D20" s="440">
        <v>1</v>
      </c>
      <c r="E20" s="441">
        <v>8</v>
      </c>
      <c r="F20" s="441"/>
    </row>
    <row r="21" spans="1:6">
      <c r="A21" s="517"/>
      <c r="B21" s="521"/>
      <c r="C21" t="s">
        <v>263</v>
      </c>
      <c r="D21" s="446" t="s">
        <v>36</v>
      </c>
      <c r="E21" s="447">
        <v>3.2330000000000001</v>
      </c>
      <c r="F21" s="447" t="s">
        <v>264</v>
      </c>
    </row>
    <row r="22" spans="1:6">
      <c r="A22" s="517"/>
      <c r="B22" s="521"/>
      <c r="C22" t="s">
        <v>265</v>
      </c>
      <c r="D22" s="446" t="s">
        <v>36</v>
      </c>
      <c r="E22" s="447">
        <v>0.69430000000000003</v>
      </c>
      <c r="F22" s="447"/>
    </row>
    <row r="23" spans="1:6">
      <c r="A23" s="517"/>
      <c r="B23" s="521"/>
      <c r="C23" t="s">
        <v>266</v>
      </c>
      <c r="D23" s="446" t="s">
        <v>36</v>
      </c>
      <c r="E23" s="447">
        <f>18232.4201887412*0.000284345136093995*(40/(93197.479526009*0.000284345136093995))</f>
        <v>7.8252846671257892</v>
      </c>
      <c r="F23" s="447"/>
    </row>
    <row r="24" spans="1:6">
      <c r="A24" s="517"/>
      <c r="B24" s="521"/>
      <c r="C24" t="s">
        <v>267</v>
      </c>
      <c r="D24" s="446">
        <v>3.5</v>
      </c>
      <c r="E24" s="447">
        <v>3.5859999999999999</v>
      </c>
      <c r="F24" s="447" t="s">
        <v>268</v>
      </c>
    </row>
    <row r="25" spans="1:6">
      <c r="A25" s="517"/>
      <c r="B25" s="521"/>
      <c r="C25" t="s">
        <v>269</v>
      </c>
      <c r="D25" s="446">
        <v>0.8</v>
      </c>
      <c r="E25" s="447">
        <v>0.67030000000000001</v>
      </c>
      <c r="F25" s="447"/>
    </row>
    <row r="26" spans="1:6">
      <c r="A26" s="517"/>
      <c r="B26" s="520"/>
      <c r="C26" s="443" t="s">
        <v>270</v>
      </c>
      <c r="D26" s="444">
        <f>130123.555153719*0.000284345136093995</f>
        <v>36.999999999218694</v>
      </c>
      <c r="E26" s="445">
        <f>93197.479526009*0.000284345136093995*(40/(93197.479526009*0.000284345136093995))</f>
        <v>40</v>
      </c>
      <c r="F26" s="445" t="s">
        <v>271</v>
      </c>
    </row>
    <row r="27" spans="1:6">
      <c r="A27" s="517"/>
      <c r="B27" s="521" t="s">
        <v>272</v>
      </c>
      <c r="C27" t="s">
        <v>273</v>
      </c>
      <c r="D27" s="446" t="s">
        <v>274</v>
      </c>
      <c r="E27" s="447" t="s">
        <v>275</v>
      </c>
      <c r="F27" s="447"/>
    </row>
    <row r="28" spans="1:6">
      <c r="A28" s="518"/>
      <c r="B28" s="520"/>
      <c r="C28" s="443" t="s">
        <v>276</v>
      </c>
      <c r="D28" s="444">
        <v>1</v>
      </c>
      <c r="E28" s="445">
        <v>0.9</v>
      </c>
      <c r="F28" s="445" t="s">
        <v>277</v>
      </c>
    </row>
  </sheetData>
  <mergeCells count="7">
    <mergeCell ref="A4:A10"/>
    <mergeCell ref="B4:B5"/>
    <mergeCell ref="B6:B10"/>
    <mergeCell ref="A11:A28"/>
    <mergeCell ref="B11:B19"/>
    <mergeCell ref="B20:B26"/>
    <mergeCell ref="B27:B2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E956E-53E6-744E-8142-8E5AD8F2E087}">
  <sheetPr>
    <tabColor rgb="FF00B050"/>
  </sheetPr>
  <dimension ref="A1:Q11"/>
  <sheetViews>
    <sheetView workbookViewId="0"/>
  </sheetViews>
  <sheetFormatPr defaultColWidth="8.85546875" defaultRowHeight="15"/>
  <cols>
    <col min="1" max="1" width="47.42578125" customWidth="1"/>
  </cols>
  <sheetData>
    <row r="1" spans="1:17" s="3" customFormat="1">
      <c r="A1" s="464" t="s">
        <v>2</v>
      </c>
      <c r="B1" s="607"/>
      <c r="C1" s="608"/>
      <c r="D1" s="608"/>
      <c r="E1" s="608"/>
      <c r="F1" s="608"/>
      <c r="G1" s="608"/>
      <c r="H1" s="463"/>
      <c r="I1" s="463"/>
      <c r="J1" s="463"/>
      <c r="K1" s="463"/>
      <c r="L1" s="463"/>
      <c r="M1" s="463"/>
      <c r="N1" s="463"/>
      <c r="O1" s="463"/>
      <c r="P1" s="463"/>
      <c r="Q1" s="463"/>
    </row>
    <row r="3" spans="1:17" ht="18.95">
      <c r="A3" s="450" t="s">
        <v>278</v>
      </c>
      <c r="B3" s="451"/>
      <c r="C3" s="451"/>
    </row>
    <row r="4" spans="1:17">
      <c r="B4" s="522" t="s">
        <v>279</v>
      </c>
      <c r="C4" s="523"/>
      <c r="D4" s="523"/>
      <c r="E4" s="523"/>
      <c r="F4" s="523"/>
      <c r="G4" s="523"/>
      <c r="H4" s="523"/>
      <c r="I4" s="524"/>
    </row>
    <row r="5" spans="1:17">
      <c r="B5" s="452">
        <v>1</v>
      </c>
      <c r="C5" s="453">
        <f t="shared" ref="C5:I5" si="0">B5+1</f>
        <v>2</v>
      </c>
      <c r="D5" s="453">
        <f t="shared" si="0"/>
        <v>3</v>
      </c>
      <c r="E5" s="453">
        <f t="shared" si="0"/>
        <v>4</v>
      </c>
      <c r="F5" s="453">
        <f t="shared" si="0"/>
        <v>5</v>
      </c>
      <c r="G5" s="453">
        <f t="shared" si="0"/>
        <v>6</v>
      </c>
      <c r="H5" s="453">
        <f t="shared" si="0"/>
        <v>7</v>
      </c>
      <c r="I5" s="454">
        <f t="shared" si="0"/>
        <v>8</v>
      </c>
    </row>
    <row r="6" spans="1:17">
      <c r="A6" s="440" t="s">
        <v>280</v>
      </c>
      <c r="B6" s="440">
        <v>18232.420188741198</v>
      </c>
      <c r="C6" s="442">
        <v>32405.1612993284</v>
      </c>
      <c r="D6" s="442">
        <v>41619.315745348496</v>
      </c>
      <c r="E6" s="442">
        <v>54132.278157157503</v>
      </c>
      <c r="F6" s="442">
        <v>66107.724780596298</v>
      </c>
      <c r="G6" s="442">
        <v>71388.279322847899</v>
      </c>
      <c r="H6" s="442">
        <v>81649.295354343805</v>
      </c>
      <c r="I6" s="441">
        <v>93197.479526009003</v>
      </c>
    </row>
    <row r="7" spans="1:17">
      <c r="A7" s="455" t="s">
        <v>281</v>
      </c>
      <c r="B7" s="455">
        <f t="shared" ref="B7:I7" si="1">B6*0.000284345136093995</f>
        <v>5.1842999998905182</v>
      </c>
      <c r="C7" s="456">
        <f t="shared" si="1"/>
        <v>9.2142499998053928</v>
      </c>
      <c r="D7" s="456">
        <f t="shared" si="1"/>
        <v>11.834249999750067</v>
      </c>
      <c r="E7" s="456">
        <f t="shared" si="1"/>
        <v>15.392249999674943</v>
      </c>
      <c r="F7" s="456">
        <f t="shared" si="1"/>
        <v>18.797409999603019</v>
      </c>
      <c r="G7" s="456">
        <f t="shared" si="1"/>
        <v>20.298909999571315</v>
      </c>
      <c r="H7" s="456">
        <f t="shared" si="1"/>
        <v>23.216579999509683</v>
      </c>
      <c r="I7" s="457">
        <f t="shared" si="1"/>
        <v>26.500249999440342</v>
      </c>
    </row>
    <row r="8" spans="1:17">
      <c r="A8" s="446" t="s">
        <v>282</v>
      </c>
      <c r="B8" s="446">
        <v>0.69430000000000003</v>
      </c>
      <c r="C8">
        <v>0.68279999999999996</v>
      </c>
      <c r="D8">
        <v>0.68300000000000005</v>
      </c>
      <c r="E8">
        <v>0.69610000000000005</v>
      </c>
      <c r="F8">
        <v>0.67869999999999997</v>
      </c>
      <c r="G8">
        <v>0.67700000000000005</v>
      </c>
      <c r="H8">
        <v>0.67520000000000002</v>
      </c>
      <c r="I8" s="447">
        <v>0.67030000000000001</v>
      </c>
    </row>
    <row r="9" spans="1:17">
      <c r="A9" s="446" t="s">
        <v>283</v>
      </c>
      <c r="B9" s="446">
        <v>3.2332794200000001</v>
      </c>
      <c r="C9">
        <v>3.7822631599999998</v>
      </c>
      <c r="D9">
        <v>3.8355106000000001</v>
      </c>
      <c r="E9">
        <v>3.7010504800000001</v>
      </c>
      <c r="F9">
        <v>3.9741327000000002</v>
      </c>
      <c r="G9">
        <v>3.9371341499999999</v>
      </c>
      <c r="H9">
        <v>3.81961605</v>
      </c>
      <c r="I9" s="447">
        <v>3.5860398333333299</v>
      </c>
    </row>
    <row r="10" spans="1:17">
      <c r="A10" s="446" t="s">
        <v>284</v>
      </c>
      <c r="B10" s="446">
        <v>0.88490145612082605</v>
      </c>
      <c r="C10">
        <v>1.41584232979332</v>
      </c>
      <c r="D10">
        <v>1.7698029122416501</v>
      </c>
      <c r="E10">
        <v>2.3361398441589798</v>
      </c>
      <c r="F10">
        <v>2.6547043683624798</v>
      </c>
      <c r="G10">
        <v>2.8316846595866401</v>
      </c>
      <c r="H10">
        <v>3.1856452420349699</v>
      </c>
      <c r="I10" s="447">
        <v>3.5396058244833002</v>
      </c>
    </row>
    <row r="11" spans="1:17">
      <c r="A11" s="458" t="s">
        <v>285</v>
      </c>
      <c r="B11" s="458">
        <f t="shared" ref="B11:I11" si="2">B10*2118.88</f>
        <v>1874.9999973452959</v>
      </c>
      <c r="C11" s="459">
        <f t="shared" si="2"/>
        <v>2999.9999957524701</v>
      </c>
      <c r="D11" s="459">
        <f t="shared" si="2"/>
        <v>3749.9999946905878</v>
      </c>
      <c r="E11" s="459">
        <f t="shared" si="2"/>
        <v>4949.9999929915793</v>
      </c>
      <c r="F11" s="459">
        <f t="shared" si="2"/>
        <v>5624.9999920358914</v>
      </c>
      <c r="G11" s="459">
        <f t="shared" si="2"/>
        <v>5999.9999915049402</v>
      </c>
      <c r="H11" s="459">
        <f t="shared" si="2"/>
        <v>6749.999990443057</v>
      </c>
      <c r="I11" s="460">
        <f t="shared" si="2"/>
        <v>7499.9999893811755</v>
      </c>
    </row>
  </sheetData>
  <mergeCells count="1">
    <mergeCell ref="B4:I4"/>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CF2B8-D81A-4739-B3FD-7DE124AB8529}">
  <sheetPr>
    <tabColor rgb="FF00B050"/>
  </sheetPr>
  <dimension ref="A1:AA63"/>
  <sheetViews>
    <sheetView topLeftCell="A11" zoomScale="140" zoomScaleNormal="140" workbookViewId="0">
      <selection activeCell="E22" sqref="E22"/>
    </sheetView>
  </sheetViews>
  <sheetFormatPr defaultColWidth="8.85546875" defaultRowHeight="15"/>
  <cols>
    <col min="1" max="1" width="19.42578125" customWidth="1"/>
    <col min="2" max="2" width="26.140625" customWidth="1"/>
    <col min="19" max="19" width="24.42578125" customWidth="1"/>
  </cols>
  <sheetData>
    <row r="1" spans="1:19" s="3" customFormat="1">
      <c r="A1" s="464" t="s">
        <v>2</v>
      </c>
      <c r="B1" s="607"/>
      <c r="C1" s="608"/>
      <c r="D1" s="608"/>
      <c r="E1" s="608"/>
      <c r="F1" s="608"/>
      <c r="G1" s="608"/>
      <c r="H1" s="463"/>
      <c r="I1" s="463"/>
      <c r="J1" s="463"/>
      <c r="K1" s="463"/>
      <c r="L1" s="463"/>
      <c r="M1" s="463"/>
      <c r="N1" s="463"/>
      <c r="O1" s="463"/>
      <c r="P1" s="463"/>
      <c r="Q1" s="463"/>
    </row>
    <row r="3" spans="1:19" ht="24" customHeight="1">
      <c r="A3" s="504" t="str">
        <f>"Thermostat Setpoints - "&amp;Prototype!A3</f>
        <v>Thermostat Setpoints - Controlled Environment Horticulture</v>
      </c>
      <c r="B3" s="504"/>
      <c r="C3" s="504"/>
      <c r="D3" s="504"/>
      <c r="E3" s="504"/>
      <c r="F3" s="504"/>
      <c r="G3" s="504"/>
      <c r="H3" s="504"/>
      <c r="I3" s="504"/>
      <c r="J3" s="504"/>
      <c r="K3" s="504"/>
      <c r="L3" s="504"/>
      <c r="M3" s="504"/>
      <c r="N3" s="504"/>
      <c r="O3" s="504"/>
      <c r="P3" s="504"/>
      <c r="Q3" s="504"/>
      <c r="R3" s="504"/>
      <c r="S3" s="504"/>
    </row>
    <row r="4" spans="1:19" ht="27.75" customHeight="1">
      <c r="A4" s="227" t="s">
        <v>39</v>
      </c>
      <c r="B4" s="227" t="s">
        <v>286</v>
      </c>
      <c r="C4" s="299" t="s">
        <v>88</v>
      </c>
      <c r="D4" s="299" t="s">
        <v>89</v>
      </c>
      <c r="E4" s="299" t="s">
        <v>90</v>
      </c>
      <c r="F4" s="299" t="s">
        <v>91</v>
      </c>
      <c r="G4" s="299" t="s">
        <v>92</v>
      </c>
      <c r="H4" s="299" t="s">
        <v>93</v>
      </c>
      <c r="I4" s="299" t="s">
        <v>94</v>
      </c>
      <c r="J4" s="299" t="s">
        <v>95</v>
      </c>
      <c r="K4" s="299" t="s">
        <v>96</v>
      </c>
      <c r="L4" s="299" t="s">
        <v>97</v>
      </c>
      <c r="M4" s="299" t="s">
        <v>98</v>
      </c>
      <c r="N4" s="299" t="s">
        <v>99</v>
      </c>
      <c r="O4" s="299" t="s">
        <v>100</v>
      </c>
      <c r="P4" s="299" t="s">
        <v>101</v>
      </c>
      <c r="Q4" s="299" t="s">
        <v>102</v>
      </c>
      <c r="R4" s="299" t="s">
        <v>103</v>
      </c>
      <c r="S4" s="299" t="s">
        <v>287</v>
      </c>
    </row>
    <row r="5" spans="1:19" ht="20.45" customHeight="1">
      <c r="A5" s="525" t="s">
        <v>68</v>
      </c>
      <c r="B5" s="223" t="s">
        <v>288</v>
      </c>
      <c r="C5" s="271">
        <v>70</v>
      </c>
      <c r="D5" s="271">
        <v>70</v>
      </c>
      <c r="E5" s="271">
        <v>70</v>
      </c>
      <c r="F5" s="271">
        <v>70</v>
      </c>
      <c r="G5" s="271">
        <v>70</v>
      </c>
      <c r="H5" s="271">
        <v>70</v>
      </c>
      <c r="I5" s="271">
        <v>70</v>
      </c>
      <c r="J5" s="271">
        <v>70</v>
      </c>
      <c r="K5" s="271">
        <v>70</v>
      </c>
      <c r="L5" s="271">
        <v>70</v>
      </c>
      <c r="M5" s="271">
        <v>70</v>
      </c>
      <c r="N5" s="271">
        <v>70</v>
      </c>
      <c r="O5" s="271">
        <v>70</v>
      </c>
      <c r="P5" s="271">
        <v>70</v>
      </c>
      <c r="Q5" s="271">
        <v>70</v>
      </c>
      <c r="R5" s="271">
        <v>70</v>
      </c>
      <c r="S5" s="527" t="s">
        <v>289</v>
      </c>
    </row>
    <row r="6" spans="1:19" ht="20.45" customHeight="1">
      <c r="A6" s="525"/>
      <c r="B6" s="223" t="s">
        <v>290</v>
      </c>
      <c r="C6" s="271">
        <v>60</v>
      </c>
      <c r="D6" s="271">
        <v>60</v>
      </c>
      <c r="E6" s="271">
        <v>60</v>
      </c>
      <c r="F6" s="271">
        <v>60</v>
      </c>
      <c r="G6" s="271">
        <v>60</v>
      </c>
      <c r="H6" s="271">
        <v>60</v>
      </c>
      <c r="I6" s="271">
        <v>60</v>
      </c>
      <c r="J6" s="271">
        <v>60</v>
      </c>
      <c r="K6" s="271">
        <v>60</v>
      </c>
      <c r="L6" s="271">
        <v>60</v>
      </c>
      <c r="M6" s="271">
        <v>60</v>
      </c>
      <c r="N6" s="271">
        <v>60</v>
      </c>
      <c r="O6" s="271">
        <v>60</v>
      </c>
      <c r="P6" s="271">
        <v>60</v>
      </c>
      <c r="Q6" s="271">
        <v>60</v>
      </c>
      <c r="R6" s="271">
        <v>60</v>
      </c>
      <c r="S6" s="527"/>
    </row>
    <row r="7" spans="1:19" ht="20.45" customHeight="1">
      <c r="A7" s="525"/>
      <c r="B7" s="223" t="s">
        <v>291</v>
      </c>
      <c r="C7" s="271">
        <v>75</v>
      </c>
      <c r="D7" s="271">
        <v>75</v>
      </c>
      <c r="E7" s="271">
        <v>75</v>
      </c>
      <c r="F7" s="271">
        <v>75</v>
      </c>
      <c r="G7" s="271">
        <v>75</v>
      </c>
      <c r="H7" s="271">
        <v>75</v>
      </c>
      <c r="I7" s="271">
        <v>75</v>
      </c>
      <c r="J7" s="271">
        <v>75</v>
      </c>
      <c r="K7" s="271">
        <v>75</v>
      </c>
      <c r="L7" s="271">
        <v>75</v>
      </c>
      <c r="M7" s="271">
        <v>75</v>
      </c>
      <c r="N7" s="271">
        <v>75</v>
      </c>
      <c r="O7" s="271">
        <v>75</v>
      </c>
      <c r="P7" s="271">
        <v>75</v>
      </c>
      <c r="Q7" s="271">
        <v>75</v>
      </c>
      <c r="R7" s="271">
        <v>75</v>
      </c>
      <c r="S7" s="527"/>
    </row>
    <row r="8" spans="1:19" ht="20.45" customHeight="1">
      <c r="A8" s="525"/>
      <c r="B8" s="223" t="s">
        <v>292</v>
      </c>
      <c r="C8" s="178">
        <v>80</v>
      </c>
      <c r="D8" s="178">
        <v>80</v>
      </c>
      <c r="E8" s="178">
        <v>80</v>
      </c>
      <c r="F8" s="178">
        <v>80</v>
      </c>
      <c r="G8" s="178">
        <v>80</v>
      </c>
      <c r="H8" s="178">
        <v>80</v>
      </c>
      <c r="I8" s="178">
        <v>80</v>
      </c>
      <c r="J8" s="178">
        <v>80</v>
      </c>
      <c r="K8" s="178">
        <v>80</v>
      </c>
      <c r="L8" s="178">
        <v>80</v>
      </c>
      <c r="M8" s="178">
        <v>80</v>
      </c>
      <c r="N8" s="178">
        <v>80</v>
      </c>
      <c r="O8" s="178">
        <v>80</v>
      </c>
      <c r="P8" s="178">
        <v>80</v>
      </c>
      <c r="Q8" s="178">
        <v>80</v>
      </c>
      <c r="R8" s="178">
        <v>80</v>
      </c>
      <c r="S8" s="527"/>
    </row>
    <row r="9" spans="1:19" ht="20.45" customHeight="1">
      <c r="A9" s="525" t="s">
        <v>293</v>
      </c>
      <c r="B9" s="223" t="s">
        <v>288</v>
      </c>
      <c r="C9" s="271">
        <v>70</v>
      </c>
      <c r="D9" s="271">
        <v>70</v>
      </c>
      <c r="E9" s="271">
        <v>70</v>
      </c>
      <c r="F9" s="271">
        <v>70</v>
      </c>
      <c r="G9" s="271">
        <v>70</v>
      </c>
      <c r="H9" s="271">
        <v>70</v>
      </c>
      <c r="I9" s="271">
        <v>70</v>
      </c>
      <c r="J9" s="271">
        <v>70</v>
      </c>
      <c r="K9" s="271">
        <v>70</v>
      </c>
      <c r="L9" s="271">
        <v>70</v>
      </c>
      <c r="M9" s="271">
        <v>70</v>
      </c>
      <c r="N9" s="271">
        <v>70</v>
      </c>
      <c r="O9" s="271">
        <v>70</v>
      </c>
      <c r="P9" s="271">
        <v>70</v>
      </c>
      <c r="Q9" s="271">
        <v>70</v>
      </c>
      <c r="R9" s="271">
        <v>70</v>
      </c>
      <c r="S9" s="527" t="s">
        <v>289</v>
      </c>
    </row>
    <row r="10" spans="1:19" ht="20.45" customHeight="1">
      <c r="A10" s="525"/>
      <c r="B10" s="223" t="s">
        <v>290</v>
      </c>
      <c r="C10" s="271">
        <v>60</v>
      </c>
      <c r="D10" s="271">
        <v>60</v>
      </c>
      <c r="E10" s="271">
        <v>60</v>
      </c>
      <c r="F10" s="271">
        <v>60</v>
      </c>
      <c r="G10" s="271">
        <v>60</v>
      </c>
      <c r="H10" s="271">
        <v>60</v>
      </c>
      <c r="I10" s="271">
        <v>60</v>
      </c>
      <c r="J10" s="271">
        <v>60</v>
      </c>
      <c r="K10" s="271">
        <v>60</v>
      </c>
      <c r="L10" s="271">
        <v>60</v>
      </c>
      <c r="M10" s="271">
        <v>60</v>
      </c>
      <c r="N10" s="271">
        <v>60</v>
      </c>
      <c r="O10" s="271">
        <v>60</v>
      </c>
      <c r="P10" s="271">
        <v>60</v>
      </c>
      <c r="Q10" s="271">
        <v>60</v>
      </c>
      <c r="R10" s="271">
        <v>60</v>
      </c>
      <c r="S10" s="527"/>
    </row>
    <row r="11" spans="1:19" ht="20.45" customHeight="1">
      <c r="A11" s="525"/>
      <c r="B11" s="223" t="s">
        <v>291</v>
      </c>
      <c r="C11" s="271">
        <v>75</v>
      </c>
      <c r="D11" s="271">
        <v>75</v>
      </c>
      <c r="E11" s="271">
        <v>75</v>
      </c>
      <c r="F11" s="271">
        <v>75</v>
      </c>
      <c r="G11" s="271">
        <v>75</v>
      </c>
      <c r="H11" s="271">
        <v>75</v>
      </c>
      <c r="I11" s="271">
        <v>75</v>
      </c>
      <c r="J11" s="271">
        <v>75</v>
      </c>
      <c r="K11" s="271">
        <v>75</v>
      </c>
      <c r="L11" s="271">
        <v>75</v>
      </c>
      <c r="M11" s="271">
        <v>75</v>
      </c>
      <c r="N11" s="271">
        <v>75</v>
      </c>
      <c r="O11" s="271">
        <v>75</v>
      </c>
      <c r="P11" s="271">
        <v>75</v>
      </c>
      <c r="Q11" s="271">
        <v>75</v>
      </c>
      <c r="R11" s="271">
        <v>75</v>
      </c>
      <c r="S11" s="527"/>
    </row>
    <row r="12" spans="1:19" ht="20.45" customHeight="1">
      <c r="A12" s="525"/>
      <c r="B12" s="223" t="s">
        <v>292</v>
      </c>
      <c r="C12" s="178">
        <v>85</v>
      </c>
      <c r="D12" s="178">
        <v>85</v>
      </c>
      <c r="E12" s="178">
        <v>85</v>
      </c>
      <c r="F12" s="178">
        <v>85</v>
      </c>
      <c r="G12" s="178">
        <v>85</v>
      </c>
      <c r="H12" s="178">
        <v>85</v>
      </c>
      <c r="I12" s="178">
        <v>85</v>
      </c>
      <c r="J12" s="178">
        <v>85</v>
      </c>
      <c r="K12" s="178">
        <v>85</v>
      </c>
      <c r="L12" s="178">
        <v>85</v>
      </c>
      <c r="M12" s="178">
        <v>85</v>
      </c>
      <c r="N12" s="178">
        <v>85</v>
      </c>
      <c r="O12" s="178">
        <v>85</v>
      </c>
      <c r="P12" s="178">
        <v>85</v>
      </c>
      <c r="Q12" s="178">
        <v>85</v>
      </c>
      <c r="R12" s="178">
        <v>85</v>
      </c>
      <c r="S12" s="527"/>
    </row>
    <row r="13" spans="1:19">
      <c r="A13" s="525" t="s">
        <v>71</v>
      </c>
      <c r="B13" s="223" t="s">
        <v>288</v>
      </c>
      <c r="C13" s="271">
        <v>70</v>
      </c>
      <c r="D13" s="271">
        <v>70</v>
      </c>
      <c r="E13" s="271">
        <v>70</v>
      </c>
      <c r="F13" s="271">
        <v>70</v>
      </c>
      <c r="G13" s="271">
        <v>70</v>
      </c>
      <c r="H13" s="271">
        <v>70</v>
      </c>
      <c r="I13" s="271">
        <v>70</v>
      </c>
      <c r="J13" s="271">
        <v>70</v>
      </c>
      <c r="K13" s="271">
        <v>70</v>
      </c>
      <c r="L13" s="271">
        <v>70</v>
      </c>
      <c r="M13" s="271">
        <v>70</v>
      </c>
      <c r="N13" s="271">
        <v>70</v>
      </c>
      <c r="O13" s="271">
        <v>70</v>
      </c>
      <c r="P13" s="271">
        <v>70</v>
      </c>
      <c r="Q13" s="271">
        <v>70</v>
      </c>
      <c r="R13" s="271">
        <v>70</v>
      </c>
      <c r="S13" s="527" t="s">
        <v>289</v>
      </c>
    </row>
    <row r="14" spans="1:19">
      <c r="A14" s="525"/>
      <c r="B14" s="223" t="s">
        <v>290</v>
      </c>
      <c r="C14" s="271">
        <v>60</v>
      </c>
      <c r="D14" s="271">
        <v>60</v>
      </c>
      <c r="E14" s="271">
        <v>60</v>
      </c>
      <c r="F14" s="271">
        <v>60</v>
      </c>
      <c r="G14" s="271">
        <v>60</v>
      </c>
      <c r="H14" s="271">
        <v>60</v>
      </c>
      <c r="I14" s="271">
        <v>60</v>
      </c>
      <c r="J14" s="271">
        <v>60</v>
      </c>
      <c r="K14" s="271">
        <v>60</v>
      </c>
      <c r="L14" s="271">
        <v>60</v>
      </c>
      <c r="M14" s="271">
        <v>60</v>
      </c>
      <c r="N14" s="271">
        <v>60</v>
      </c>
      <c r="O14" s="271">
        <v>60</v>
      </c>
      <c r="P14" s="271">
        <v>60</v>
      </c>
      <c r="Q14" s="271">
        <v>60</v>
      </c>
      <c r="R14" s="271">
        <v>60</v>
      </c>
      <c r="S14" s="527"/>
    </row>
    <row r="15" spans="1:19">
      <c r="A15" s="525"/>
      <c r="B15" s="223" t="s">
        <v>291</v>
      </c>
      <c r="C15" s="271">
        <v>75</v>
      </c>
      <c r="D15" s="271">
        <v>75</v>
      </c>
      <c r="E15" s="271">
        <v>75</v>
      </c>
      <c r="F15" s="271">
        <v>75</v>
      </c>
      <c r="G15" s="271">
        <v>75</v>
      </c>
      <c r="H15" s="271">
        <v>75</v>
      </c>
      <c r="I15" s="271">
        <v>75</v>
      </c>
      <c r="J15" s="271">
        <v>75</v>
      </c>
      <c r="K15" s="271">
        <v>75</v>
      </c>
      <c r="L15" s="271">
        <v>75</v>
      </c>
      <c r="M15" s="271">
        <v>75</v>
      </c>
      <c r="N15" s="271">
        <v>75</v>
      </c>
      <c r="O15" s="271">
        <v>75</v>
      </c>
      <c r="P15" s="271">
        <v>75</v>
      </c>
      <c r="Q15" s="271">
        <v>75</v>
      </c>
      <c r="R15" s="271">
        <v>75</v>
      </c>
      <c r="S15" s="527"/>
    </row>
    <row r="16" spans="1:19">
      <c r="A16" s="525"/>
      <c r="B16" s="223" t="s">
        <v>292</v>
      </c>
      <c r="C16" s="178">
        <v>85</v>
      </c>
      <c r="D16" s="178">
        <v>85</v>
      </c>
      <c r="E16" s="178">
        <v>85</v>
      </c>
      <c r="F16" s="178">
        <v>85</v>
      </c>
      <c r="G16" s="178">
        <v>85</v>
      </c>
      <c r="H16" s="178">
        <v>85</v>
      </c>
      <c r="I16" s="178">
        <v>85</v>
      </c>
      <c r="J16" s="178">
        <v>85</v>
      </c>
      <c r="K16" s="178">
        <v>85</v>
      </c>
      <c r="L16" s="178">
        <v>85</v>
      </c>
      <c r="M16" s="178">
        <v>85</v>
      </c>
      <c r="N16" s="178">
        <v>85</v>
      </c>
      <c r="O16" s="178">
        <v>85</v>
      </c>
      <c r="P16" s="178">
        <v>85</v>
      </c>
      <c r="Q16" s="178">
        <v>85</v>
      </c>
      <c r="R16" s="178">
        <v>85</v>
      </c>
      <c r="S16" s="527"/>
    </row>
    <row r="17" spans="1:19">
      <c r="A17" s="525" t="s">
        <v>67</v>
      </c>
      <c r="B17" s="223" t="s">
        <v>288</v>
      </c>
      <c r="C17" s="271">
        <v>60</v>
      </c>
      <c r="D17" s="271">
        <v>60</v>
      </c>
      <c r="E17" s="271">
        <v>60</v>
      </c>
      <c r="F17" s="271">
        <v>60</v>
      </c>
      <c r="G17" s="271">
        <v>60</v>
      </c>
      <c r="H17" s="271">
        <v>60</v>
      </c>
      <c r="I17" s="271">
        <v>60</v>
      </c>
      <c r="J17" s="271">
        <v>60</v>
      </c>
      <c r="K17" s="271">
        <v>60</v>
      </c>
      <c r="L17" s="271">
        <v>60</v>
      </c>
      <c r="M17" s="271">
        <v>60</v>
      </c>
      <c r="N17" s="271">
        <v>60</v>
      </c>
      <c r="O17" s="271">
        <v>60</v>
      </c>
      <c r="P17" s="271">
        <v>60</v>
      </c>
      <c r="Q17" s="271">
        <v>60</v>
      </c>
      <c r="R17" s="271">
        <v>60</v>
      </c>
      <c r="S17" s="526" t="s">
        <v>294</v>
      </c>
    </row>
    <row r="18" spans="1:19">
      <c r="A18" s="525"/>
      <c r="B18" s="223" t="s">
        <v>290</v>
      </c>
      <c r="C18" s="271">
        <v>60</v>
      </c>
      <c r="D18" s="271">
        <v>60</v>
      </c>
      <c r="E18" s="271">
        <v>60</v>
      </c>
      <c r="F18" s="271">
        <v>60</v>
      </c>
      <c r="G18" s="271">
        <v>60</v>
      </c>
      <c r="H18" s="271">
        <v>60</v>
      </c>
      <c r="I18" s="271">
        <v>60</v>
      </c>
      <c r="J18" s="271">
        <v>60</v>
      </c>
      <c r="K18" s="271">
        <v>60</v>
      </c>
      <c r="L18" s="271">
        <v>60</v>
      </c>
      <c r="M18" s="271">
        <v>60</v>
      </c>
      <c r="N18" s="271">
        <v>60</v>
      </c>
      <c r="O18" s="271">
        <v>60</v>
      </c>
      <c r="P18" s="271">
        <v>60</v>
      </c>
      <c r="Q18" s="271">
        <v>60</v>
      </c>
      <c r="R18" s="271">
        <v>60</v>
      </c>
      <c r="S18" s="526"/>
    </row>
    <row r="19" spans="1:19">
      <c r="A19" s="525"/>
      <c r="B19" s="223" t="s">
        <v>291</v>
      </c>
      <c r="C19" s="271">
        <v>65</v>
      </c>
      <c r="D19" s="271">
        <v>65</v>
      </c>
      <c r="E19" s="271">
        <v>65</v>
      </c>
      <c r="F19" s="271">
        <v>65</v>
      </c>
      <c r="G19" s="271">
        <v>65</v>
      </c>
      <c r="H19" s="271">
        <v>65</v>
      </c>
      <c r="I19" s="271">
        <v>65</v>
      </c>
      <c r="J19" s="271">
        <v>65</v>
      </c>
      <c r="K19" s="271">
        <v>65</v>
      </c>
      <c r="L19" s="271">
        <v>65</v>
      </c>
      <c r="M19" s="271">
        <v>65</v>
      </c>
      <c r="N19" s="271">
        <v>65</v>
      </c>
      <c r="O19" s="271">
        <v>65</v>
      </c>
      <c r="P19" s="271">
        <v>65</v>
      </c>
      <c r="Q19" s="271">
        <v>65</v>
      </c>
      <c r="R19" s="271">
        <v>65</v>
      </c>
      <c r="S19" s="526"/>
    </row>
    <row r="20" spans="1:19">
      <c r="A20" s="525"/>
      <c r="B20" s="223" t="s">
        <v>292</v>
      </c>
      <c r="C20" s="178">
        <v>75</v>
      </c>
      <c r="D20" s="178">
        <v>75</v>
      </c>
      <c r="E20" s="178">
        <v>75</v>
      </c>
      <c r="F20" s="178">
        <v>75</v>
      </c>
      <c r="G20" s="178">
        <v>75</v>
      </c>
      <c r="H20" s="178">
        <v>75</v>
      </c>
      <c r="I20" s="178">
        <v>75</v>
      </c>
      <c r="J20" s="178">
        <v>75</v>
      </c>
      <c r="K20" s="178">
        <v>75</v>
      </c>
      <c r="L20" s="178">
        <v>75</v>
      </c>
      <c r="M20" s="178">
        <v>75</v>
      </c>
      <c r="N20" s="178">
        <v>75</v>
      </c>
      <c r="O20" s="178">
        <v>75</v>
      </c>
      <c r="P20" s="178">
        <v>75</v>
      </c>
      <c r="Q20" s="178">
        <v>75</v>
      </c>
      <c r="R20" s="178">
        <v>75</v>
      </c>
      <c r="S20" s="526"/>
    </row>
    <row r="21" spans="1:19">
      <c r="A21" s="525" t="s">
        <v>61</v>
      </c>
      <c r="B21" s="223" t="s">
        <v>288</v>
      </c>
      <c r="C21" s="271">
        <v>70</v>
      </c>
      <c r="D21" s="271">
        <v>70</v>
      </c>
      <c r="E21" s="271">
        <v>70</v>
      </c>
      <c r="F21" s="271">
        <v>70</v>
      </c>
      <c r="G21" s="271">
        <v>70</v>
      </c>
      <c r="H21" s="271">
        <v>70</v>
      </c>
      <c r="I21" s="271">
        <v>70</v>
      </c>
      <c r="J21" s="271">
        <v>70</v>
      </c>
      <c r="K21" s="271">
        <v>70</v>
      </c>
      <c r="L21" s="271">
        <v>70</v>
      </c>
      <c r="M21" s="271">
        <v>70</v>
      </c>
      <c r="N21" s="271">
        <v>70</v>
      </c>
      <c r="O21" s="271">
        <v>70</v>
      </c>
      <c r="P21" s="271">
        <v>70</v>
      </c>
      <c r="Q21" s="271">
        <v>70</v>
      </c>
      <c r="R21" s="271">
        <v>70</v>
      </c>
      <c r="S21" s="526" t="s">
        <v>295</v>
      </c>
    </row>
    <row r="22" spans="1:19">
      <c r="A22" s="525"/>
      <c r="B22" s="223" t="s">
        <v>290</v>
      </c>
      <c r="C22" s="271">
        <v>60</v>
      </c>
      <c r="D22" s="271">
        <v>60</v>
      </c>
      <c r="E22" s="271">
        <v>60</v>
      </c>
      <c r="F22" s="271">
        <v>60</v>
      </c>
      <c r="G22" s="271">
        <v>60</v>
      </c>
      <c r="H22" s="271">
        <v>60</v>
      </c>
      <c r="I22" s="271">
        <v>60</v>
      </c>
      <c r="J22" s="271">
        <v>60</v>
      </c>
      <c r="K22" s="271">
        <v>60</v>
      </c>
      <c r="L22" s="271">
        <v>60</v>
      </c>
      <c r="M22" s="271">
        <v>60</v>
      </c>
      <c r="N22" s="271">
        <v>60</v>
      </c>
      <c r="O22" s="271">
        <v>60</v>
      </c>
      <c r="P22" s="271">
        <v>60</v>
      </c>
      <c r="Q22" s="271">
        <v>60</v>
      </c>
      <c r="R22" s="271">
        <v>60</v>
      </c>
      <c r="S22" s="526"/>
    </row>
    <row r="23" spans="1:19">
      <c r="A23" s="525"/>
      <c r="B23" s="223" t="s">
        <v>291</v>
      </c>
      <c r="C23" s="271">
        <v>70</v>
      </c>
      <c r="D23" s="271">
        <v>70</v>
      </c>
      <c r="E23" s="271">
        <v>70</v>
      </c>
      <c r="F23" s="271">
        <v>70</v>
      </c>
      <c r="G23" s="271">
        <v>70</v>
      </c>
      <c r="H23" s="271">
        <v>70</v>
      </c>
      <c r="I23" s="271">
        <v>70</v>
      </c>
      <c r="J23" s="271">
        <v>70</v>
      </c>
      <c r="K23" s="271">
        <v>70</v>
      </c>
      <c r="L23" s="271">
        <v>70</v>
      </c>
      <c r="M23" s="271">
        <v>70</v>
      </c>
      <c r="N23" s="271">
        <v>70</v>
      </c>
      <c r="O23" s="271">
        <v>70</v>
      </c>
      <c r="P23" s="271">
        <v>70</v>
      </c>
      <c r="Q23" s="271">
        <v>70</v>
      </c>
      <c r="R23" s="271">
        <v>70</v>
      </c>
      <c r="S23" s="526"/>
    </row>
    <row r="24" spans="1:19">
      <c r="A24" s="525"/>
      <c r="B24" s="223" t="s">
        <v>292</v>
      </c>
      <c r="C24" s="271">
        <v>80</v>
      </c>
      <c r="D24" s="271">
        <v>80</v>
      </c>
      <c r="E24" s="271">
        <v>80</v>
      </c>
      <c r="F24" s="271">
        <v>80</v>
      </c>
      <c r="G24" s="271">
        <v>80</v>
      </c>
      <c r="H24" s="271">
        <v>80</v>
      </c>
      <c r="I24" s="271">
        <v>80</v>
      </c>
      <c r="J24" s="271">
        <v>80</v>
      </c>
      <c r="K24" s="271">
        <v>80</v>
      </c>
      <c r="L24" s="271">
        <v>80</v>
      </c>
      <c r="M24" s="271">
        <v>80</v>
      </c>
      <c r="N24" s="271">
        <v>80</v>
      </c>
      <c r="O24" s="271">
        <v>80</v>
      </c>
      <c r="P24" s="271">
        <v>80</v>
      </c>
      <c r="Q24" s="271">
        <v>80</v>
      </c>
      <c r="R24" s="271">
        <v>80</v>
      </c>
      <c r="S24" s="526"/>
    </row>
    <row r="25" spans="1:19">
      <c r="A25" s="519" t="s">
        <v>64</v>
      </c>
      <c r="B25" s="223" t="s">
        <v>288</v>
      </c>
      <c r="C25" s="271">
        <v>60</v>
      </c>
      <c r="D25" s="271">
        <v>60</v>
      </c>
      <c r="E25" s="271">
        <v>60</v>
      </c>
      <c r="F25" s="271">
        <v>60</v>
      </c>
      <c r="G25" s="271">
        <v>60</v>
      </c>
      <c r="H25" s="271">
        <v>60</v>
      </c>
      <c r="I25" s="271">
        <v>60</v>
      </c>
      <c r="J25" s="271">
        <v>60</v>
      </c>
      <c r="K25" s="271">
        <v>60</v>
      </c>
      <c r="L25" s="271">
        <v>60</v>
      </c>
      <c r="M25" s="271">
        <v>60</v>
      </c>
      <c r="N25" s="271">
        <v>60</v>
      </c>
      <c r="O25" s="271">
        <v>60</v>
      </c>
      <c r="P25" s="271">
        <v>60</v>
      </c>
      <c r="Q25" s="271">
        <v>60</v>
      </c>
      <c r="R25" s="271">
        <v>60</v>
      </c>
      <c r="S25" s="526" t="s">
        <v>296</v>
      </c>
    </row>
    <row r="26" spans="1:19">
      <c r="A26" s="521"/>
      <c r="B26" s="223" t="s">
        <v>290</v>
      </c>
      <c r="C26" s="271">
        <v>60</v>
      </c>
      <c r="D26" s="271">
        <v>60</v>
      </c>
      <c r="E26" s="271">
        <v>60</v>
      </c>
      <c r="F26" s="271">
        <v>60</v>
      </c>
      <c r="G26" s="271">
        <v>60</v>
      </c>
      <c r="H26" s="271">
        <v>60</v>
      </c>
      <c r="I26" s="271">
        <v>60</v>
      </c>
      <c r="J26" s="271">
        <v>60</v>
      </c>
      <c r="K26" s="271">
        <v>60</v>
      </c>
      <c r="L26" s="271">
        <v>60</v>
      </c>
      <c r="M26" s="271">
        <v>60</v>
      </c>
      <c r="N26" s="271">
        <v>60</v>
      </c>
      <c r="O26" s="271">
        <v>60</v>
      </c>
      <c r="P26" s="271">
        <v>60</v>
      </c>
      <c r="Q26" s="271">
        <v>60</v>
      </c>
      <c r="R26" s="271">
        <v>60</v>
      </c>
      <c r="S26" s="526"/>
    </row>
    <row r="27" spans="1:19">
      <c r="A27" s="521"/>
      <c r="B27" s="223" t="s">
        <v>291</v>
      </c>
      <c r="C27" s="271">
        <v>60</v>
      </c>
      <c r="D27" s="271">
        <v>60</v>
      </c>
      <c r="E27" s="271">
        <v>60</v>
      </c>
      <c r="F27" s="271">
        <v>60</v>
      </c>
      <c r="G27" s="271">
        <v>60</v>
      </c>
      <c r="H27" s="271">
        <v>60</v>
      </c>
      <c r="I27" s="271">
        <v>60</v>
      </c>
      <c r="J27" s="271">
        <v>60</v>
      </c>
      <c r="K27" s="271">
        <v>60</v>
      </c>
      <c r="L27" s="271">
        <v>60</v>
      </c>
      <c r="M27" s="271">
        <v>60</v>
      </c>
      <c r="N27" s="271">
        <v>60</v>
      </c>
      <c r="O27" s="271">
        <v>60</v>
      </c>
      <c r="P27" s="271">
        <v>60</v>
      </c>
      <c r="Q27" s="271">
        <v>60</v>
      </c>
      <c r="R27" s="271">
        <v>60</v>
      </c>
      <c r="S27" s="526"/>
    </row>
    <row r="28" spans="1:19">
      <c r="A28" s="520"/>
      <c r="B28" s="223" t="s">
        <v>292</v>
      </c>
      <c r="C28" s="271">
        <v>60</v>
      </c>
      <c r="D28" s="271">
        <v>60</v>
      </c>
      <c r="E28" s="271">
        <v>60</v>
      </c>
      <c r="F28" s="271">
        <v>60</v>
      </c>
      <c r="G28" s="271">
        <v>60</v>
      </c>
      <c r="H28" s="271">
        <v>60</v>
      </c>
      <c r="I28" s="271">
        <v>60</v>
      </c>
      <c r="J28" s="271">
        <v>60</v>
      </c>
      <c r="K28" s="271">
        <v>60</v>
      </c>
      <c r="L28" s="271">
        <v>60</v>
      </c>
      <c r="M28" s="271">
        <v>60</v>
      </c>
      <c r="N28" s="271">
        <v>60</v>
      </c>
      <c r="O28" s="271">
        <v>60</v>
      </c>
      <c r="P28" s="271">
        <v>60</v>
      </c>
      <c r="Q28" s="271">
        <v>60</v>
      </c>
      <c r="R28" s="271">
        <v>60</v>
      </c>
      <c r="S28" s="526"/>
    </row>
    <row r="29" spans="1:19">
      <c r="A29" s="525" t="s">
        <v>297</v>
      </c>
      <c r="B29" s="223" t="s">
        <v>288</v>
      </c>
      <c r="C29" s="271" t="s">
        <v>36</v>
      </c>
      <c r="D29" s="271" t="s">
        <v>36</v>
      </c>
      <c r="E29" s="271" t="s">
        <v>36</v>
      </c>
      <c r="F29" s="271" t="s">
        <v>36</v>
      </c>
      <c r="G29" s="271" t="s">
        <v>36</v>
      </c>
      <c r="H29" s="271" t="s">
        <v>36</v>
      </c>
      <c r="I29" s="271" t="s">
        <v>36</v>
      </c>
      <c r="J29" s="271" t="s">
        <v>36</v>
      </c>
      <c r="K29" s="271" t="s">
        <v>36</v>
      </c>
      <c r="L29" s="271" t="s">
        <v>36</v>
      </c>
      <c r="M29" s="271" t="s">
        <v>36</v>
      </c>
      <c r="N29" s="271" t="s">
        <v>36</v>
      </c>
      <c r="O29" s="271" t="s">
        <v>36</v>
      </c>
      <c r="P29" s="271" t="s">
        <v>36</v>
      </c>
      <c r="Q29" s="271" t="s">
        <v>36</v>
      </c>
      <c r="R29" s="271" t="s">
        <v>36</v>
      </c>
      <c r="S29" s="526" t="s">
        <v>298</v>
      </c>
    </row>
    <row r="30" spans="1:19">
      <c r="A30" s="525"/>
      <c r="B30" s="223" t="s">
        <v>290</v>
      </c>
      <c r="C30" s="271" t="s">
        <v>36</v>
      </c>
      <c r="D30" s="271" t="s">
        <v>36</v>
      </c>
      <c r="E30" s="271" t="s">
        <v>36</v>
      </c>
      <c r="F30" s="271" t="s">
        <v>36</v>
      </c>
      <c r="G30" s="271" t="s">
        <v>36</v>
      </c>
      <c r="H30" s="271" t="s">
        <v>36</v>
      </c>
      <c r="I30" s="271" t="s">
        <v>36</v>
      </c>
      <c r="J30" s="271" t="s">
        <v>36</v>
      </c>
      <c r="K30" s="271" t="s">
        <v>36</v>
      </c>
      <c r="L30" s="271" t="s">
        <v>36</v>
      </c>
      <c r="M30" s="271" t="s">
        <v>36</v>
      </c>
      <c r="N30" s="271" t="s">
        <v>36</v>
      </c>
      <c r="O30" s="271" t="s">
        <v>36</v>
      </c>
      <c r="P30" s="271" t="s">
        <v>36</v>
      </c>
      <c r="Q30" s="271" t="s">
        <v>36</v>
      </c>
      <c r="R30" s="271" t="s">
        <v>36</v>
      </c>
      <c r="S30" s="526"/>
    </row>
    <row r="31" spans="1:19">
      <c r="A31" s="525"/>
      <c r="B31" s="223" t="s">
        <v>291</v>
      </c>
      <c r="C31" s="271">
        <v>80</v>
      </c>
      <c r="D31" s="271">
        <v>80</v>
      </c>
      <c r="E31" s="271">
        <v>80</v>
      </c>
      <c r="F31" s="271">
        <v>80</v>
      </c>
      <c r="G31" s="271">
        <v>80</v>
      </c>
      <c r="H31" s="271">
        <v>80</v>
      </c>
      <c r="I31" s="271">
        <v>80</v>
      </c>
      <c r="J31" s="271">
        <v>80</v>
      </c>
      <c r="K31" s="271">
        <v>80</v>
      </c>
      <c r="L31" s="271">
        <v>80</v>
      </c>
      <c r="M31" s="271">
        <v>80</v>
      </c>
      <c r="N31" s="271">
        <v>80</v>
      </c>
      <c r="O31" s="271">
        <v>80</v>
      </c>
      <c r="P31" s="271">
        <v>80</v>
      </c>
      <c r="Q31" s="271">
        <v>80</v>
      </c>
      <c r="R31" s="271">
        <v>80</v>
      </c>
      <c r="S31" s="526"/>
    </row>
    <row r="32" spans="1:19">
      <c r="A32" s="525"/>
      <c r="B32" s="223" t="s">
        <v>292</v>
      </c>
      <c r="C32" s="271" t="s">
        <v>36</v>
      </c>
      <c r="D32" s="271" t="s">
        <v>36</v>
      </c>
      <c r="E32" s="271" t="s">
        <v>36</v>
      </c>
      <c r="F32" s="271" t="s">
        <v>36</v>
      </c>
      <c r="G32" s="271" t="s">
        <v>36</v>
      </c>
      <c r="H32" s="271" t="s">
        <v>36</v>
      </c>
      <c r="I32" s="271" t="s">
        <v>36</v>
      </c>
      <c r="J32" s="271" t="s">
        <v>36</v>
      </c>
      <c r="K32" s="271" t="s">
        <v>36</v>
      </c>
      <c r="L32" s="271" t="s">
        <v>36</v>
      </c>
      <c r="M32" s="271" t="s">
        <v>36</v>
      </c>
      <c r="N32" s="271" t="s">
        <v>36</v>
      </c>
      <c r="O32" s="271" t="s">
        <v>36</v>
      </c>
      <c r="P32" s="271" t="s">
        <v>36</v>
      </c>
      <c r="Q32" s="271" t="s">
        <v>36</v>
      </c>
      <c r="R32" s="271" t="s">
        <v>36</v>
      </c>
      <c r="S32" s="526"/>
    </row>
    <row r="33" spans="1:20">
      <c r="A33" s="525" t="s">
        <v>52</v>
      </c>
      <c r="B33" s="223" t="s">
        <v>288</v>
      </c>
      <c r="C33" s="271" t="s">
        <v>36</v>
      </c>
      <c r="D33" s="271" t="s">
        <v>36</v>
      </c>
      <c r="E33" s="271" t="s">
        <v>36</v>
      </c>
      <c r="F33" s="271" t="s">
        <v>36</v>
      </c>
      <c r="G33" s="271" t="s">
        <v>36</v>
      </c>
      <c r="H33" s="271" t="s">
        <v>36</v>
      </c>
      <c r="I33" s="271" t="s">
        <v>36</v>
      </c>
      <c r="J33" s="271" t="s">
        <v>36</v>
      </c>
      <c r="K33" s="271" t="s">
        <v>36</v>
      </c>
      <c r="L33" s="271" t="s">
        <v>36</v>
      </c>
      <c r="M33" s="271" t="s">
        <v>36</v>
      </c>
      <c r="N33" s="271" t="s">
        <v>36</v>
      </c>
      <c r="O33" s="271" t="s">
        <v>36</v>
      </c>
      <c r="P33" s="271" t="s">
        <v>36</v>
      </c>
      <c r="Q33" s="271" t="s">
        <v>36</v>
      </c>
      <c r="R33" s="271" t="s">
        <v>36</v>
      </c>
      <c r="S33" s="526" t="s">
        <v>299</v>
      </c>
    </row>
    <row r="34" spans="1:20">
      <c r="A34" s="525"/>
      <c r="B34" s="223" t="s">
        <v>290</v>
      </c>
      <c r="C34" s="271" t="s">
        <v>36</v>
      </c>
      <c r="D34" s="271" t="s">
        <v>36</v>
      </c>
      <c r="E34" s="271" t="s">
        <v>36</v>
      </c>
      <c r="F34" s="271" t="s">
        <v>36</v>
      </c>
      <c r="G34" s="271" t="s">
        <v>36</v>
      </c>
      <c r="H34" s="271" t="s">
        <v>36</v>
      </c>
      <c r="I34" s="271" t="s">
        <v>36</v>
      </c>
      <c r="J34" s="271" t="s">
        <v>36</v>
      </c>
      <c r="K34" s="271" t="s">
        <v>36</v>
      </c>
      <c r="L34" s="271" t="s">
        <v>36</v>
      </c>
      <c r="M34" s="271" t="s">
        <v>36</v>
      </c>
      <c r="N34" s="271" t="s">
        <v>36</v>
      </c>
      <c r="O34" s="271" t="s">
        <v>36</v>
      </c>
      <c r="P34" s="271" t="s">
        <v>36</v>
      </c>
      <c r="Q34" s="271" t="s">
        <v>36</v>
      </c>
      <c r="R34" s="271" t="s">
        <v>36</v>
      </c>
      <c r="S34" s="526"/>
    </row>
    <row r="35" spans="1:20">
      <c r="A35" s="525"/>
      <c r="B35" s="223" t="s">
        <v>291</v>
      </c>
      <c r="C35" s="271">
        <v>82</v>
      </c>
      <c r="D35" s="271">
        <v>82</v>
      </c>
      <c r="E35" s="271">
        <v>82</v>
      </c>
      <c r="F35" s="271">
        <v>82</v>
      </c>
      <c r="G35" s="271">
        <v>82</v>
      </c>
      <c r="H35" s="271">
        <v>82</v>
      </c>
      <c r="I35" s="271">
        <v>82</v>
      </c>
      <c r="J35" s="271">
        <v>82</v>
      </c>
      <c r="K35" s="271">
        <v>82</v>
      </c>
      <c r="L35" s="271">
        <v>82</v>
      </c>
      <c r="M35" s="271">
        <v>82</v>
      </c>
      <c r="N35" s="271">
        <v>82</v>
      </c>
      <c r="O35" s="271">
        <v>82</v>
      </c>
      <c r="P35" s="271">
        <v>82</v>
      </c>
      <c r="Q35" s="271">
        <v>82</v>
      </c>
      <c r="R35" s="271">
        <v>82</v>
      </c>
      <c r="S35" s="526"/>
    </row>
    <row r="36" spans="1:20">
      <c r="A36" s="525"/>
      <c r="B36" s="223" t="s">
        <v>292</v>
      </c>
      <c r="C36" s="271" t="s">
        <v>36</v>
      </c>
      <c r="D36" s="271" t="s">
        <v>36</v>
      </c>
      <c r="E36" s="271" t="s">
        <v>36</v>
      </c>
      <c r="F36" s="271" t="s">
        <v>36</v>
      </c>
      <c r="G36" s="271" t="s">
        <v>36</v>
      </c>
      <c r="H36" s="271" t="s">
        <v>36</v>
      </c>
      <c r="I36" s="271" t="s">
        <v>36</v>
      </c>
      <c r="J36" s="271" t="s">
        <v>36</v>
      </c>
      <c r="K36" s="271" t="s">
        <v>36</v>
      </c>
      <c r="L36" s="271" t="s">
        <v>36</v>
      </c>
      <c r="M36" s="271" t="s">
        <v>36</v>
      </c>
      <c r="N36" s="271" t="s">
        <v>36</v>
      </c>
      <c r="O36" s="271" t="s">
        <v>36</v>
      </c>
      <c r="P36" s="271" t="s">
        <v>36</v>
      </c>
      <c r="Q36" s="271" t="s">
        <v>36</v>
      </c>
      <c r="R36" s="271" t="s">
        <v>36</v>
      </c>
      <c r="S36" s="526"/>
    </row>
    <row r="37" spans="1:20" ht="20.100000000000001" customHeight="1">
      <c r="A37" s="525" t="s">
        <v>56</v>
      </c>
      <c r="B37" s="223" t="s">
        <v>288</v>
      </c>
      <c r="C37" s="271" t="s">
        <v>36</v>
      </c>
      <c r="D37" s="271" t="s">
        <v>36</v>
      </c>
      <c r="E37" s="271" t="s">
        <v>36</v>
      </c>
      <c r="F37" s="271" t="s">
        <v>36</v>
      </c>
      <c r="G37" s="271" t="s">
        <v>36</v>
      </c>
      <c r="H37" s="271" t="s">
        <v>36</v>
      </c>
      <c r="I37" s="271" t="s">
        <v>36</v>
      </c>
      <c r="J37" s="271" t="s">
        <v>36</v>
      </c>
      <c r="K37" s="271" t="s">
        <v>36</v>
      </c>
      <c r="L37" s="271" t="s">
        <v>36</v>
      </c>
      <c r="M37" s="271" t="s">
        <v>36</v>
      </c>
      <c r="N37" s="271" t="s">
        <v>36</v>
      </c>
      <c r="O37" s="271" t="s">
        <v>36</v>
      </c>
      <c r="P37" s="271" t="s">
        <v>36</v>
      </c>
      <c r="Q37" s="271" t="s">
        <v>36</v>
      </c>
      <c r="R37" s="271" t="s">
        <v>36</v>
      </c>
      <c r="S37" s="526" t="s">
        <v>300</v>
      </c>
    </row>
    <row r="38" spans="1:20" ht="20.100000000000001" customHeight="1">
      <c r="A38" s="525"/>
      <c r="B38" s="223" t="s">
        <v>290</v>
      </c>
      <c r="C38" s="271" t="s">
        <v>36</v>
      </c>
      <c r="D38" s="271" t="s">
        <v>36</v>
      </c>
      <c r="E38" s="271" t="s">
        <v>36</v>
      </c>
      <c r="F38" s="271" t="s">
        <v>36</v>
      </c>
      <c r="G38" s="271" t="s">
        <v>36</v>
      </c>
      <c r="H38" s="271" t="s">
        <v>36</v>
      </c>
      <c r="I38" s="271" t="s">
        <v>36</v>
      </c>
      <c r="J38" s="271" t="s">
        <v>36</v>
      </c>
      <c r="K38" s="271" t="s">
        <v>36</v>
      </c>
      <c r="L38" s="271" t="s">
        <v>36</v>
      </c>
      <c r="M38" s="271" t="s">
        <v>36</v>
      </c>
      <c r="N38" s="271" t="s">
        <v>36</v>
      </c>
      <c r="O38" s="271" t="s">
        <v>36</v>
      </c>
      <c r="P38" s="271" t="s">
        <v>36</v>
      </c>
      <c r="Q38" s="271" t="s">
        <v>36</v>
      </c>
      <c r="R38" s="271" t="s">
        <v>36</v>
      </c>
      <c r="S38" s="526"/>
    </row>
    <row r="39" spans="1:20" ht="20.100000000000001" customHeight="1">
      <c r="A39" s="525"/>
      <c r="B39" s="223" t="s">
        <v>291</v>
      </c>
      <c r="C39" s="271" t="s">
        <v>301</v>
      </c>
      <c r="D39" s="271" t="s">
        <v>301</v>
      </c>
      <c r="E39" s="271" t="s">
        <v>301</v>
      </c>
      <c r="F39" s="271" t="s">
        <v>301</v>
      </c>
      <c r="G39" s="271" t="s">
        <v>301</v>
      </c>
      <c r="H39" s="271" t="s">
        <v>301</v>
      </c>
      <c r="I39" s="271" t="s">
        <v>301</v>
      </c>
      <c r="J39" s="271" t="s">
        <v>301</v>
      </c>
      <c r="K39" s="271" t="s">
        <v>301</v>
      </c>
      <c r="L39" s="271" t="s">
        <v>301</v>
      </c>
      <c r="M39" s="271" t="s">
        <v>301</v>
      </c>
      <c r="N39" s="271" t="s">
        <v>301</v>
      </c>
      <c r="O39" s="271" t="s">
        <v>301</v>
      </c>
      <c r="P39" s="271" t="s">
        <v>301</v>
      </c>
      <c r="Q39" s="271" t="s">
        <v>301</v>
      </c>
      <c r="R39" s="271" t="s">
        <v>301</v>
      </c>
      <c r="S39" s="526"/>
      <c r="T39" s="432"/>
    </row>
    <row r="40" spans="1:20" ht="20.100000000000001" customHeight="1">
      <c r="A40" s="525"/>
      <c r="B40" s="223" t="s">
        <v>292</v>
      </c>
      <c r="C40" s="271" t="s">
        <v>36</v>
      </c>
      <c r="D40" s="271" t="s">
        <v>36</v>
      </c>
      <c r="E40" s="271" t="s">
        <v>36</v>
      </c>
      <c r="F40" s="271" t="s">
        <v>36</v>
      </c>
      <c r="G40" s="271" t="s">
        <v>36</v>
      </c>
      <c r="H40" s="271" t="s">
        <v>36</v>
      </c>
      <c r="I40" s="271" t="s">
        <v>36</v>
      </c>
      <c r="J40" s="271" t="s">
        <v>36</v>
      </c>
      <c r="K40" s="271" t="s">
        <v>36</v>
      </c>
      <c r="L40" s="271" t="s">
        <v>36</v>
      </c>
      <c r="M40" s="271" t="s">
        <v>36</v>
      </c>
      <c r="N40" s="271" t="s">
        <v>36</v>
      </c>
      <c r="O40" s="271" t="s">
        <v>36</v>
      </c>
      <c r="P40" s="271" t="s">
        <v>36</v>
      </c>
      <c r="Q40" s="271" t="s">
        <v>36</v>
      </c>
      <c r="R40" s="271" t="s">
        <v>36</v>
      </c>
      <c r="S40" s="526"/>
    </row>
    <row r="42" spans="1:20">
      <c r="B42" s="219"/>
    </row>
    <row r="43" spans="1:20">
      <c r="B43" s="219"/>
    </row>
    <row r="63" spans="25:27">
      <c r="Y63">
        <v>82</v>
      </c>
      <c r="Z63">
        <v>79</v>
      </c>
      <c r="AA63">
        <v>73</v>
      </c>
    </row>
  </sheetData>
  <mergeCells count="19">
    <mergeCell ref="A25:A28"/>
    <mergeCell ref="S25:S28"/>
    <mergeCell ref="A5:A8"/>
    <mergeCell ref="A3:S3"/>
    <mergeCell ref="S5:S8"/>
    <mergeCell ref="A9:A12"/>
    <mergeCell ref="S9:S12"/>
    <mergeCell ref="A13:A16"/>
    <mergeCell ref="S13:S16"/>
    <mergeCell ref="A17:A20"/>
    <mergeCell ref="S17:S20"/>
    <mergeCell ref="A21:A24"/>
    <mergeCell ref="S21:S24"/>
    <mergeCell ref="A29:A32"/>
    <mergeCell ref="S29:S32"/>
    <mergeCell ref="A33:A36"/>
    <mergeCell ref="S33:S36"/>
    <mergeCell ref="A37:A40"/>
    <mergeCell ref="S37:S4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FBAE6B6DB452246A3F2C2DEC7ECE161" ma:contentTypeVersion="3" ma:contentTypeDescription="Create a new document." ma:contentTypeScope="" ma:versionID="2716a69e2958b62ef8f3b0959cfe3d81">
  <xsd:schema xmlns:xsd="http://www.w3.org/2001/XMLSchema" xmlns:xs="http://www.w3.org/2001/XMLSchema" xmlns:p="http://schemas.microsoft.com/office/2006/metadata/properties" xmlns:ns2="864f8752-d9f1-4e10-8e39-ff43a10e68c8" targetNamespace="http://schemas.microsoft.com/office/2006/metadata/properties" ma:root="true" ma:fieldsID="69a4a0ab83dea670499152d9d73ff846" ns2:_="">
    <xsd:import namespace="864f8752-d9f1-4e10-8e39-ff43a10e68c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4f8752-d9f1-4e10-8e39-ff43a10e68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921AF10-0BF8-441A-BDBA-64AF3E09D45F}"/>
</file>

<file path=customXml/itemProps2.xml><?xml version="1.0" encoding="utf-8"?>
<ds:datastoreItem xmlns:ds="http://schemas.openxmlformats.org/officeDocument/2006/customXml" ds:itemID="{8957C68D-FB91-4C6B-9B62-E1CE896C0AAD}"/>
</file>

<file path=customXml/itemProps3.xml><?xml version="1.0" encoding="utf-8"?>
<ds:datastoreItem xmlns:ds="http://schemas.openxmlformats.org/officeDocument/2006/customXml" ds:itemID="{20816333-575B-4274-8A3E-18699B071E9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Yousefi, Fatemeh</dc:creator>
  <cp:keywords/>
  <dc:description/>
  <cp:lastModifiedBy/>
  <cp:revision/>
  <dcterms:created xsi:type="dcterms:W3CDTF">2024-06-21T17:19:36Z</dcterms:created>
  <dcterms:modified xsi:type="dcterms:W3CDTF">2026-03-03T16:11:06Z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7864bb8-b671-4bed-ba85-9478127ab5e9_Enabled">
    <vt:lpwstr>true</vt:lpwstr>
  </property>
  <property fmtid="{D5CDD505-2E9C-101B-9397-08002B2CF9AE}" pid="3" name="MSIP_Label_b7864bb8-b671-4bed-ba85-9478127ab5e9_SetDate">
    <vt:lpwstr>2024-06-21T17:19:48Z</vt:lpwstr>
  </property>
  <property fmtid="{D5CDD505-2E9C-101B-9397-08002B2CF9AE}" pid="4" name="MSIP_Label_b7864bb8-b671-4bed-ba85-9478127ab5e9_Method">
    <vt:lpwstr>Standard</vt:lpwstr>
  </property>
  <property fmtid="{D5CDD505-2E9C-101B-9397-08002B2CF9AE}" pid="5" name="MSIP_Label_b7864bb8-b671-4bed-ba85-9478127ab5e9_Name">
    <vt:lpwstr>Confidential – 2023</vt:lpwstr>
  </property>
  <property fmtid="{D5CDD505-2E9C-101B-9397-08002B2CF9AE}" pid="6" name="MSIP_Label_b7864bb8-b671-4bed-ba85-9478127ab5e9_SiteId">
    <vt:lpwstr>36839a65-7f3f-4bac-9ea4-f571f10a9a03</vt:lpwstr>
  </property>
  <property fmtid="{D5CDD505-2E9C-101B-9397-08002B2CF9AE}" pid="7" name="MSIP_Label_b7864bb8-b671-4bed-ba85-9478127ab5e9_ActionId">
    <vt:lpwstr>0e6e9a60-d2ab-4ce7-9a0a-ef72169e4f66</vt:lpwstr>
  </property>
  <property fmtid="{D5CDD505-2E9C-101B-9397-08002B2CF9AE}" pid="8" name="MSIP_Label_b7864bb8-b671-4bed-ba85-9478127ab5e9_ContentBits">
    <vt:lpwstr>0</vt:lpwstr>
  </property>
  <property fmtid="{D5CDD505-2E9C-101B-9397-08002B2CF9AE}" pid="9" name="MSIP_Label_aa7be39c-9e9f-446a-a199-286f73f56a3f_Enabled">
    <vt:lpwstr>true</vt:lpwstr>
  </property>
  <property fmtid="{D5CDD505-2E9C-101B-9397-08002B2CF9AE}" pid="10" name="MSIP_Label_aa7be39c-9e9f-446a-a199-286f73f56a3f_SetDate">
    <vt:lpwstr>2024-11-12T07:01:00Z</vt:lpwstr>
  </property>
  <property fmtid="{D5CDD505-2E9C-101B-9397-08002B2CF9AE}" pid="11" name="MSIP_Label_aa7be39c-9e9f-446a-a199-286f73f56a3f_Method">
    <vt:lpwstr>Standard</vt:lpwstr>
  </property>
  <property fmtid="{D5CDD505-2E9C-101B-9397-08002B2CF9AE}" pid="12" name="MSIP_Label_aa7be39c-9e9f-446a-a199-286f73f56a3f_Name">
    <vt:lpwstr>Confidential</vt:lpwstr>
  </property>
  <property fmtid="{D5CDD505-2E9C-101B-9397-08002B2CF9AE}" pid="13" name="MSIP_Label_aa7be39c-9e9f-446a-a199-286f73f56a3f_SiteId">
    <vt:lpwstr>85ad2a97-6942-4d5d-bc9c-35cd3905d69a</vt:lpwstr>
  </property>
  <property fmtid="{D5CDD505-2E9C-101B-9397-08002B2CF9AE}" pid="14" name="MSIP_Label_aa7be39c-9e9f-446a-a199-286f73f56a3f_ActionId">
    <vt:lpwstr>9aa52be7-e90f-4db3-9dfa-3134fb3d14a1</vt:lpwstr>
  </property>
  <property fmtid="{D5CDD505-2E9C-101B-9397-08002B2CF9AE}" pid="15" name="MSIP_Label_aa7be39c-9e9f-446a-a199-286f73f56a3f_ContentBits">
    <vt:lpwstr>0</vt:lpwstr>
  </property>
  <property fmtid="{D5CDD505-2E9C-101B-9397-08002B2CF9AE}" pid="16" name="ContentTypeId">
    <vt:lpwstr>0x010100DFBAE6B6DB452246A3F2C2DEC7ECE161</vt:lpwstr>
  </property>
  <property fmtid="{D5CDD505-2E9C-101B-9397-08002B2CF9AE}" pid="17" name="MediaServiceImageTags">
    <vt:lpwstr/>
  </property>
</Properties>
</file>